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лькуляция" sheetId="1" state="visible" r:id="rId1"/>
    <sheet name="Сводка" sheetId="2" state="visible" r:id="rId2"/>
    <sheet name="План-факт" sheetId="3" state="visible" r:id="rId3"/>
    <sheet name="Справочники" sheetId="4" state="visible" r:id="rId4"/>
    <sheet name="Инструкция" sheetId="5" state="visible" r:id="rId5"/>
  </sheets>
  <definedNames>
    <definedName name="_xlnm.Print_Area" localSheetId="0">'Калькуляция'!$A$1:$K$67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#;-#,##0.###;;@"/>
    <numFmt numFmtId="165" formatCode="#,##0.00;-#,##0.00"/>
    <numFmt numFmtId="166" formatCode="0.0%"/>
  </numFmts>
  <fonts count="24">
    <font>
      <name val="Calibri"/>
      <family val="2"/>
      <color theme="1"/>
      <sz val="11"/>
      <scheme val="minor"/>
    </font>
    <font>
      <b val="1"/>
      <color rgb="FF0B2545"/>
      <sz val="20"/>
    </font>
    <font>
      <color rgb="FF415C86"/>
      <sz val="11"/>
    </font>
    <font>
      <i val="1"/>
      <color rgb="FF14454E"/>
      <sz val="11"/>
    </font>
    <font>
      <b val="1"/>
      <color rgb="FF415C86"/>
      <sz val="11"/>
    </font>
    <font>
      <sz val="11"/>
    </font>
    <font>
      <b val="1"/>
      <color rgb="FFFFFFFF"/>
      <sz val="10"/>
    </font>
    <font>
      <b val="1"/>
    </font>
    <font>
      <color rgb="FF415C86"/>
      <sz val="10"/>
    </font>
    <font>
      <b val="1"/>
      <color rgb="FF0B2545"/>
      <sz val="12"/>
    </font>
    <font>
      <i val="1"/>
      <color rgb="FF415C86"/>
      <sz val="10"/>
    </font>
    <font>
      <color rgb="FF415C86"/>
    </font>
    <font>
      <b val="1"/>
      <color rgb="FF14454E"/>
    </font>
    <font>
      <b val="1"/>
      <color rgb="FF0B2545"/>
      <sz val="18"/>
    </font>
    <font>
      <color rgb="FF33475B"/>
    </font>
    <font>
      <b val="1"/>
      <color rgb="FF0B2545"/>
    </font>
    <font>
      <color rgb="FF33475B"/>
      <sz val="10"/>
    </font>
    <font>
      <b val="1"/>
      <color rgb="FF0B2545"/>
      <sz val="11"/>
    </font>
    <font>
      <b val="1"/>
      <color rgb="FF0B2545"/>
      <sz val="13"/>
    </font>
    <font>
      <i val="1"/>
      <color rgb="FF14454E"/>
      <sz val="10"/>
    </font>
    <font>
      <b val="1"/>
      <sz val="10"/>
    </font>
    <font>
      <b val="1"/>
      <color rgb="FF0B2545"/>
      <sz val="16"/>
    </font>
    <font>
      <b val="1"/>
      <color rgb="FF14454E"/>
      <sz val="10"/>
    </font>
    <font>
      <color rgb="FF33475B"/>
      <sz val="11"/>
    </font>
  </fonts>
  <fills count="6">
    <fill>
      <patternFill/>
    </fill>
    <fill>
      <patternFill patternType="gray125"/>
    </fill>
    <fill>
      <patternFill patternType="solid">
        <fgColor rgb="FFFFFDF5"/>
      </patternFill>
    </fill>
    <fill>
      <patternFill patternType="solid">
        <fgColor rgb="FF14454E"/>
      </patternFill>
    </fill>
    <fill>
      <patternFill patternType="solid">
        <fgColor rgb="FFF3E9DC"/>
      </patternFill>
    </fill>
    <fill>
      <patternFill patternType="solid">
        <fgColor rgb="FFEDF5FF"/>
      </patternFill>
    </fill>
  </fills>
  <borders count="2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164" fontId="5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7" fillId="0" borderId="1" pivotButton="0" quotePrefix="0" xfId="0"/>
    <xf numFmtId="165" fontId="0" fillId="0" borderId="1" pivotButton="0" quotePrefix="0" xfId="0"/>
    <xf numFmtId="165" fontId="0" fillId="2" borderId="1" pivotButton="0" quotePrefix="0" xfId="0"/>
    <xf numFmtId="166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8" fillId="0" borderId="1" pivotButton="0" quotePrefix="0" xfId="0"/>
    <xf numFmtId="0" fontId="0" fillId="4" borderId="1" pivotButton="0" quotePrefix="0" xfId="0"/>
    <xf numFmtId="0" fontId="9" fillId="4" borderId="1" pivotButton="0" quotePrefix="0" xfId="0"/>
    <xf numFmtId="165" fontId="9" fillId="4" borderId="1" pivotButton="0" quotePrefix="0" xfId="0"/>
    <xf numFmtId="0" fontId="10" fillId="4" borderId="1" pivotButton="0" quotePrefix="0" xfId="0"/>
    <xf numFmtId="0" fontId="11" fillId="0" borderId="0" pivotButton="0" quotePrefix="0" xfId="0"/>
    <xf numFmtId="166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164" fontId="14" fillId="0" borderId="1" applyAlignment="1" pivotButton="0" quotePrefix="0" xfId="0">
      <alignment horizontal="right"/>
    </xf>
    <xf numFmtId="0" fontId="15" fillId="4" borderId="0" pivotButton="0" quotePrefix="0" xfId="0"/>
    <xf numFmtId="165" fontId="15" fillId="4" borderId="1" applyAlignment="1" pivotButton="0" quotePrefix="0" xfId="0">
      <alignment horizontal="right"/>
    </xf>
    <xf numFmtId="166" fontId="14" fillId="0" borderId="1" applyAlignment="1" pivotButton="0" quotePrefix="0" xfId="0">
      <alignment horizontal="right"/>
    </xf>
    <xf numFmtId="0" fontId="16" fillId="0" borderId="1" pivotButton="0" quotePrefix="0" xfId="0"/>
    <xf numFmtId="0" fontId="17" fillId="4" borderId="1" pivotButton="0" quotePrefix="0" xfId="0"/>
    <xf numFmtId="165" fontId="17" fillId="4" borderId="1" pivotButton="0" quotePrefix="0" xfId="0"/>
    <xf numFmtId="166" fontId="17" fillId="4" borderId="1" pivotButton="0" quotePrefix="0" xfId="0"/>
    <xf numFmtId="0" fontId="10" fillId="0" borderId="0" applyAlignment="1" pivotButton="0" quotePrefix="0" xfId="0">
      <alignment vertical="top" wrapText="1"/>
    </xf>
    <xf numFmtId="0" fontId="18" fillId="0" borderId="0" pivotButton="0" quotePrefix="0" xfId="0"/>
    <xf numFmtId="0" fontId="14" fillId="2" borderId="0" pivotButton="0" quotePrefix="0" xfId="0"/>
    <xf numFmtId="166" fontId="14" fillId="2" borderId="1" applyAlignment="1" pivotButton="0" quotePrefix="0" xfId="0">
      <alignment horizontal="right"/>
    </xf>
    <xf numFmtId="165" fontId="14" fillId="0" borderId="1" applyAlignment="1" pivotButton="0" quotePrefix="0" xfId="0">
      <alignment horizontal="right"/>
    </xf>
    <xf numFmtId="0" fontId="19" fillId="0" borderId="0" pivotButton="0" quotePrefix="0" xfId="0"/>
    <xf numFmtId="165" fontId="8" fillId="0" borderId="1" pivotButton="0" quotePrefix="0" xfId="0"/>
    <xf numFmtId="0" fontId="20" fillId="0" borderId="1" pivotButton="0" quotePrefix="0" xfId="0"/>
    <xf numFmtId="0" fontId="21" fillId="0" borderId="0" pivotButton="0" quotePrefix="0" xfId="0"/>
    <xf numFmtId="0" fontId="8" fillId="0" borderId="0" pivotButton="0" quotePrefix="0" xfId="0"/>
    <xf numFmtId="0" fontId="6" fillId="3" borderId="1" pivotButton="0" quotePrefix="0" xfId="0"/>
    <xf numFmtId="0" fontId="16" fillId="0" borderId="0" pivotButton="0" quotePrefix="0" xfId="0"/>
    <xf numFmtId="0" fontId="22" fillId="5" borderId="0" pivotButton="0" quotePrefix="0" xfId="0"/>
    <xf numFmtId="0" fontId="17" fillId="0" borderId="0" applyAlignment="1" pivotButton="0" quotePrefix="0" xfId="0">
      <alignment vertical="top" wrapText="1"/>
    </xf>
    <xf numFmtId="0" fontId="23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FFFDE7E7"/>
        </patternFill>
      </fill>
    </dxf>
    <dxf>
      <fill>
        <patternFill patternType="solid">
          <fgColor rgb="FF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K67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6" customWidth="1" min="2" max="2"/>
    <col width="10" customWidth="1" min="3" max="3"/>
    <col width="12" customWidth="1" min="4" max="4"/>
    <col width="14" customWidth="1" min="5" max="5"/>
    <col width="14" customWidth="1" min="6" max="6"/>
    <col width="16" customWidth="1" min="7" max="7"/>
    <col width="19" customWidth="1" min="8" max="8"/>
    <col width="12" customWidth="1" min="9" max="9"/>
    <col width="9" customWidth="1" min="10" max="10"/>
    <col width="34" customWidth="1" min="11" max="11"/>
  </cols>
  <sheetData>
    <row r="2">
      <c r="B2" s="1" t="inlineStr">
        <is>
          <t>КАЛЬКУЛЯЦИЯ СЕБЕСТОИМОСТИ ПРОДУКЦИИ</t>
        </is>
      </c>
    </row>
    <row r="3">
      <c r="B3" s="2" t="inlineStr">
        <is>
          <t>Шаблон с формулами: нормы и цены по статьям затрат, прямые и косвенные расходы, полная себестоимость и себестоимость единицы</t>
        </is>
      </c>
    </row>
    <row r="4">
      <c r="B4" s="3" t="inlineStr">
        <is>
          <t>Заполняйте только жёлтые поля. Суммы, итоги, доли и себестоимость единицы считаются автоматически.</t>
        </is>
      </c>
    </row>
    <row r="6">
      <c r="B6" s="4" t="inlineStr">
        <is>
          <t>Изделие, партия</t>
        </is>
      </c>
      <c r="C6" s="5" t="inlineStr">
        <is>
          <t>Корпус редуктора, партия сентября</t>
        </is>
      </c>
    </row>
    <row r="7">
      <c r="B7" s="4" t="inlineStr">
        <is>
          <t>Объём выпуска, шт.</t>
        </is>
      </c>
      <c r="C7" s="6" t="n">
        <v>1000</v>
      </c>
    </row>
    <row r="8">
      <c r="B8" s="4" t="inlineStr">
        <is>
          <t>Период</t>
        </is>
      </c>
      <c r="C8" s="5" t="inlineStr">
        <is>
          <t>сентябрь 2026</t>
        </is>
      </c>
    </row>
    <row r="11" ht="34" customHeight="1">
      <c r="A11" s="7" t="inlineStr">
        <is>
          <t>Статья затрат</t>
        </is>
      </c>
      <c r="B11" s="7" t="inlineStr">
        <is>
          <t>Наименование затрат</t>
        </is>
      </c>
      <c r="C11" s="7" t="inlineStr">
        <is>
          <t>Ед. изм.</t>
        </is>
      </c>
      <c r="D11" s="7" t="inlineStr">
        <is>
          <t>Норма на ед.</t>
        </is>
      </c>
      <c r="E11" s="7" t="inlineStr">
        <is>
          <t>Цена ресурса, ₽</t>
        </is>
      </c>
      <c r="F11" s="7" t="inlineStr">
        <is>
          <t>Сумма на ед., ₽</t>
        </is>
      </c>
      <c r="G11" s="7" t="inlineStr">
        <is>
          <t>Сумма на объём, ₽</t>
        </is>
      </c>
      <c r="H11" s="7" t="inlineStr">
        <is>
          <t>Сумма на объём: ввод, ₽</t>
        </is>
      </c>
      <c r="I11" s="7" t="inlineStr">
        <is>
          <t>Группа</t>
        </is>
      </c>
      <c r="J11" s="7" t="inlineStr">
        <is>
          <t>Доля</t>
        </is>
      </c>
      <c r="K11" s="7" t="inlineStr">
        <is>
          <t>Примечание</t>
        </is>
      </c>
    </row>
    <row r="12">
      <c r="A12" s="8" t="inlineStr">
        <is>
          <t>Сырьё и материалы</t>
        </is>
      </c>
      <c r="B12" s="8" t="inlineStr">
        <is>
          <t>Алюминиевый сплав АК12</t>
        </is>
      </c>
      <c r="C12" s="8" t="inlineStr">
        <is>
          <t>кг</t>
        </is>
      </c>
      <c r="D12" s="9" t="n">
        <v>2.4</v>
      </c>
      <c r="E12" s="9" t="n">
        <v>320</v>
      </c>
      <c r="F12" s="10">
        <f>IF(AND(D12&lt;&gt;"",E12&lt;&gt;""),ROUND(D12*E12,2),IF(H12&lt;&gt;"",ROUND(H12/$C$7,2),""))</f>
        <v/>
      </c>
      <c r="G12" s="11">
        <f>IF(F12&lt;&gt;"",ROUND(F12*$C$7,2),"")</f>
        <v/>
      </c>
      <c r="H12" s="12" t="n"/>
      <c r="I12" s="8">
        <f>IF(A12="","",IFERROR(VLOOKUP(A12,Справочники!$B$5:$C$18,2,FALSE),""))</f>
        <v/>
      </c>
      <c r="J12" s="13">
        <f>IF(F12="","",IFERROR(ROUND(F12/$F$65,4),""))</f>
        <v/>
      </c>
      <c r="K12" s="8" t="inlineStr">
        <is>
          <t>Норма на изделие, цена за кг у поставщика</t>
        </is>
      </c>
    </row>
    <row r="13">
      <c r="A13" s="8" t="inlineStr">
        <is>
          <t>Комплектующие и полуфабрикаты</t>
        </is>
      </c>
      <c r="B13" s="8" t="inlineStr">
        <is>
          <t>Подшипник 6205</t>
        </is>
      </c>
      <c r="C13" s="8" t="inlineStr">
        <is>
          <t>шт.</t>
        </is>
      </c>
      <c r="D13" s="9" t="n">
        <v>2</v>
      </c>
      <c r="E13" s="9" t="n">
        <v>145</v>
      </c>
      <c r="F13" s="10">
        <f>IF(AND(D13&lt;&gt;"",E13&lt;&gt;""),ROUND(D13*E13,2),IF(H13&lt;&gt;"",ROUND(H13/$C$7,2),""))</f>
        <v/>
      </c>
      <c r="G13" s="11">
        <f>IF(F13&lt;&gt;"",ROUND(F13*$C$7,2),"")</f>
        <v/>
      </c>
      <c r="H13" s="12" t="n"/>
      <c r="I13" s="8">
        <f>IF(A13="","",IFERROR(VLOOKUP(A13,Справочники!$B$5:$C$18,2,FALSE),""))</f>
        <v/>
      </c>
      <c r="J13" s="13">
        <f>IF(F13="","",IFERROR(ROUND(F13/$F$65,4),""))</f>
        <v/>
      </c>
      <c r="K13" s="8" t="inlineStr">
        <is>
          <t>Покупное изделие</t>
        </is>
      </c>
    </row>
    <row r="14">
      <c r="A14" s="8" t="inlineStr">
        <is>
          <t>Оплата труда производственных рабочих</t>
        </is>
      </c>
      <c r="B14" s="8" t="inlineStr">
        <is>
          <t>Литьё и механообработка</t>
        </is>
      </c>
      <c r="C14" s="8" t="inlineStr">
        <is>
          <t>нормо-час</t>
        </is>
      </c>
      <c r="D14" s="9" t="n">
        <v>1.6</v>
      </c>
      <c r="E14" s="9" t="n">
        <v>620</v>
      </c>
      <c r="F14" s="10">
        <f>IF(AND(D14&lt;&gt;"",E14&lt;&gt;""),ROUND(D14*E14,2),IF(H14&lt;&gt;"",ROUND(H14/$C$7,2),""))</f>
        <v/>
      </c>
      <c r="G14" s="11">
        <f>IF(F14&lt;&gt;"",ROUND(F14*$C$7,2),"")</f>
        <v/>
      </c>
      <c r="H14" s="12" t="n"/>
      <c r="I14" s="8">
        <f>IF(A14="","",IFERROR(VLOOKUP(A14,Справочники!$B$5:$C$18,2,FALSE),""))</f>
        <v/>
      </c>
      <c r="J14" s="13">
        <f>IF(F14="","",IFERROR(ROUND(F14/$F$65,4),""))</f>
        <v/>
      </c>
      <c r="K14" s="8" t="inlineStr">
        <is>
          <t>Сдельная расценка за нормо-час</t>
        </is>
      </c>
    </row>
    <row r="15">
      <c r="A15" s="8" t="inlineStr">
        <is>
          <t>Страховые взносы</t>
        </is>
      </c>
      <c r="B15" s="8" t="inlineStr">
        <is>
          <t>Взносы с оплаты труда</t>
        </is>
      </c>
      <c r="C15" s="8" t="inlineStr">
        <is>
          <t>нормо-час</t>
        </is>
      </c>
      <c r="D15" s="9" t="n">
        <v>1.6</v>
      </c>
      <c r="E15" s="9" t="n">
        <v>186</v>
      </c>
      <c r="F15" s="10">
        <f>IF(AND(D15&lt;&gt;"",E15&lt;&gt;""),ROUND(D15*E15,2),IF(H15&lt;&gt;"",ROUND(H15/$C$7,2),""))</f>
        <v/>
      </c>
      <c r="G15" s="11">
        <f>IF(F15&lt;&gt;"",ROUND(F15*$C$7,2),"")</f>
        <v/>
      </c>
      <c r="H15" s="12" t="n"/>
      <c r="I15" s="8">
        <f>IF(A15="","",IFERROR(VLOOKUP(A15,Справочники!$B$5:$C$18,2,FALSE),""))</f>
        <v/>
      </c>
      <c r="J15" s="13">
        <f>IF(F15="","",IFERROR(ROUND(F15/$F$65,4),""))</f>
        <v/>
      </c>
      <c r="K15" s="8" t="inlineStr">
        <is>
          <t>30 % от ставки 620 ₽ — поставьте свою ставку</t>
        </is>
      </c>
    </row>
    <row r="16">
      <c r="A16" s="8" t="inlineStr">
        <is>
          <t>Топливо и энергия на технологические цели</t>
        </is>
      </c>
      <c r="B16" s="8" t="inlineStr">
        <is>
          <t>Электроэнергия на технужды</t>
        </is>
      </c>
      <c r="C16" s="8" t="inlineStr">
        <is>
          <t>кВт·ч</t>
        </is>
      </c>
      <c r="D16" s="9" t="n">
        <v>12.5</v>
      </c>
      <c r="E16" s="9" t="n">
        <v>6.4</v>
      </c>
      <c r="F16" s="10">
        <f>IF(AND(D16&lt;&gt;"",E16&lt;&gt;""),ROUND(D16*E16,2),IF(H16&lt;&gt;"",ROUND(H16/$C$7,2),""))</f>
        <v/>
      </c>
      <c r="G16" s="11">
        <f>IF(F16&lt;&gt;"",ROUND(F16*$C$7,2),"")</f>
        <v/>
      </c>
      <c r="H16" s="12" t="n"/>
      <c r="I16" s="8">
        <f>IF(A16="","",IFERROR(VLOOKUP(A16,Справочники!$B$5:$C$18,2,FALSE),""))</f>
        <v/>
      </c>
      <c r="J16" s="13">
        <f>IF(F16="","",IFERROR(ROUND(F16/$F$65,4),""))</f>
        <v/>
      </c>
      <c r="K16" s="8" t="inlineStr">
        <is>
          <t>Тариф по своему региону</t>
        </is>
      </c>
    </row>
    <row r="17">
      <c r="A17" s="8" t="inlineStr">
        <is>
          <t>Транспортно-заготовительные расходы</t>
        </is>
      </c>
      <c r="B17" s="8" t="inlineStr">
        <is>
          <t>Доставка материалов</t>
        </is>
      </c>
      <c r="C17" s="14" t="n"/>
      <c r="D17" s="15" t="n"/>
      <c r="E17" s="15" t="n"/>
      <c r="F17" s="10">
        <f>IF(AND(D17&lt;&gt;"",E17&lt;&gt;""),ROUND(D17*E17,2),IF(H17&lt;&gt;"",ROUND(H17/$C$7,2),""))</f>
        <v/>
      </c>
      <c r="G17" s="11">
        <f>IF(F17&lt;&gt;"",ROUND(F17*$C$7,2),"")</f>
        <v/>
      </c>
      <c r="H17" s="11" t="n">
        <v>52900</v>
      </c>
      <c r="I17" s="8">
        <f>IF(A17="","",IFERROR(VLOOKUP(A17,Справочники!$B$5:$C$18,2,FALSE),""))</f>
        <v/>
      </c>
      <c r="J17" s="13">
        <f>IF(F17="","",IFERROR(ROUND(F17/$F$65,4),""))</f>
        <v/>
      </c>
      <c r="K17" s="8" t="inlineStr">
        <is>
          <t>Внесено суммой на объём — норма не нужна</t>
        </is>
      </c>
    </row>
    <row r="18">
      <c r="A18" s="8" t="inlineStr">
        <is>
          <t>Упаковка</t>
        </is>
      </c>
      <c r="B18" s="8" t="inlineStr">
        <is>
          <t>Гофрокороб, 600×400×300</t>
        </is>
      </c>
      <c r="C18" s="8" t="inlineStr">
        <is>
          <t>шт.</t>
        </is>
      </c>
      <c r="D18" s="9" t="n">
        <v>1</v>
      </c>
      <c r="E18" s="9" t="n">
        <v>68</v>
      </c>
      <c r="F18" s="10">
        <f>IF(AND(D18&lt;&gt;"",E18&lt;&gt;""),ROUND(D18*E18,2),IF(H18&lt;&gt;"",ROUND(H18/$C$7,2),""))</f>
        <v/>
      </c>
      <c r="G18" s="11">
        <f>IF(F18&lt;&gt;"",ROUND(F18*$C$7,2),"")</f>
        <v/>
      </c>
      <c r="H18" s="12" t="n"/>
      <c r="I18" s="8">
        <f>IF(A18="","",IFERROR(VLOOKUP(A18,Справочники!$B$5:$C$18,2,FALSE),""))</f>
        <v/>
      </c>
      <c r="J18" s="13">
        <f>IF(F18="","",IFERROR(ROUND(F18/$F$65,4),""))</f>
        <v/>
      </c>
      <c r="K18" s="14" t="n"/>
    </row>
    <row r="19">
      <c r="A19" s="8" t="inlineStr">
        <is>
          <t>Амортизация оборудования</t>
        </is>
      </c>
      <c r="B19" s="8" t="inlineStr">
        <is>
          <t>Амортизация литейного участка</t>
        </is>
      </c>
      <c r="C19" s="14" t="n"/>
      <c r="D19" s="15" t="n"/>
      <c r="E19" s="15" t="n"/>
      <c r="F19" s="10">
        <f>IF(AND(D19&lt;&gt;"",E19&lt;&gt;""),ROUND(D19*E19,2),IF(H19&lt;&gt;"",ROUND(H19/$C$7,2),""))</f>
        <v/>
      </c>
      <c r="G19" s="11">
        <f>IF(F19&lt;&gt;"",ROUND(F19*$C$7,2),"")</f>
        <v/>
      </c>
      <c r="H19" s="11" t="n">
        <v>180000</v>
      </c>
      <c r="I19" s="8">
        <f>IF(A19="","",IFERROR(VLOOKUP(A19,Справочники!$B$5:$C$18,2,FALSE),""))</f>
        <v/>
      </c>
      <c r="J19" s="13">
        <f>IF(F19="","",IFERROR(ROUND(F19/$F$65,4),""))</f>
        <v/>
      </c>
      <c r="K19" s="8" t="inlineStr">
        <is>
          <t>Внесено суммой на объём</t>
        </is>
      </c>
    </row>
    <row r="20">
      <c r="A20" s="8" t="inlineStr">
        <is>
          <t>Общепроизводственные расходы</t>
        </is>
      </c>
      <c r="B20" s="8" t="inlineStr">
        <is>
          <t>Содержание цеха, ремонт, инструмент</t>
        </is>
      </c>
      <c r="C20" s="14" t="n"/>
      <c r="D20" s="15" t="n"/>
      <c r="E20" s="15" t="n"/>
      <c r="F20" s="10">
        <f>IF(AND(D20&lt;&gt;"",E20&lt;&gt;""),ROUND(D20*E20,2),IF(H20&lt;&gt;"",ROUND(H20/$C$7,2),""))</f>
        <v/>
      </c>
      <c r="G20" s="11">
        <f>IF(F20&lt;&gt;"",ROUND(F20*$C$7,2),"")</f>
        <v/>
      </c>
      <c r="H20" s="11" t="n">
        <v>240000</v>
      </c>
      <c r="I20" s="8">
        <f>IF(A20="","",IFERROR(VLOOKUP(A20,Справочники!$B$5:$C$18,2,FALSE),""))</f>
        <v/>
      </c>
      <c r="J20" s="13">
        <f>IF(F20="","",IFERROR(ROUND(F20/$F$65,4),""))</f>
        <v/>
      </c>
      <c r="K20" s="8" t="inlineStr">
        <is>
          <t>Внесено суммой на объём</t>
        </is>
      </c>
    </row>
    <row r="21">
      <c r="A21" s="8" t="inlineStr">
        <is>
          <t>Общехозяйственные расходы</t>
        </is>
      </c>
      <c r="B21" s="8" t="inlineStr">
        <is>
          <t>Управление, аренда, ИТ</t>
        </is>
      </c>
      <c r="C21" s="14" t="n"/>
      <c r="D21" s="15" t="n"/>
      <c r="E21" s="15" t="n"/>
      <c r="F21" s="10">
        <f>IF(AND(D21&lt;&gt;"",E21&lt;&gt;""),ROUND(D21*E21,2),IF(H21&lt;&gt;"",ROUND(H21/$C$7,2),""))</f>
        <v/>
      </c>
      <c r="G21" s="11">
        <f>IF(F21&lt;&gt;"",ROUND(F21*$C$7,2),"")</f>
        <v/>
      </c>
      <c r="H21" s="11" t="n">
        <v>310000</v>
      </c>
      <c r="I21" s="8">
        <f>IF(A21="","",IFERROR(VLOOKUP(A21,Справочники!$B$5:$C$18,2,FALSE),""))</f>
        <v/>
      </c>
      <c r="J21" s="13">
        <f>IF(F21="","",IFERROR(ROUND(F21/$F$65,4),""))</f>
        <v/>
      </c>
      <c r="K21" s="8" t="inlineStr">
        <is>
          <t>Внесено суммой на объём</t>
        </is>
      </c>
    </row>
    <row r="22">
      <c r="A22" s="8" t="inlineStr">
        <is>
          <t>Потери от брака</t>
        </is>
      </c>
      <c r="B22" s="8" t="inlineStr">
        <is>
          <t>Технологические потери</t>
        </is>
      </c>
      <c r="C22" s="14" t="n"/>
      <c r="D22" s="15" t="n"/>
      <c r="E22" s="15" t="n"/>
      <c r="F22" s="10">
        <f>IF(AND(D22&lt;&gt;"",E22&lt;&gt;""),ROUND(D22*E22,2),IF(H22&lt;&gt;"",ROUND(H22/$C$7,2),""))</f>
        <v/>
      </c>
      <c r="G22" s="11">
        <f>IF(F22&lt;&gt;"",ROUND(F22*$C$7,2),"")</f>
        <v/>
      </c>
      <c r="H22" s="11" t="n">
        <v>26000</v>
      </c>
      <c r="I22" s="8">
        <f>IF(A22="","",IFERROR(VLOOKUP(A22,Справочники!$B$5:$C$18,2,FALSE),""))</f>
        <v/>
      </c>
      <c r="J22" s="13">
        <f>IF(F22="","",IFERROR(ROUND(F22/$F$65,4),""))</f>
        <v/>
      </c>
      <c r="K22" s="8" t="inlineStr">
        <is>
          <t>Внесено суммой на объём</t>
        </is>
      </c>
    </row>
    <row r="23">
      <c r="A23" s="8" t="inlineStr">
        <is>
          <t>Коммерческие расходы</t>
        </is>
      </c>
      <c r="B23" s="8" t="inlineStr">
        <is>
          <t>Сбыт и логистика готовой продукции</t>
        </is>
      </c>
      <c r="C23" s="14" t="n"/>
      <c r="D23" s="15" t="n"/>
      <c r="E23" s="15" t="n"/>
      <c r="F23" s="10">
        <f>IF(AND(D23&lt;&gt;"",E23&lt;&gt;""),ROUND(D23*E23,2),IF(H23&lt;&gt;"",ROUND(H23/$C$7,2),""))</f>
        <v/>
      </c>
      <c r="G23" s="11">
        <f>IF(F23&lt;&gt;"",ROUND(F23*$C$7,2),"")</f>
        <v/>
      </c>
      <c r="H23" s="11" t="n">
        <v>95000</v>
      </c>
      <c r="I23" s="8">
        <f>IF(A23="","",IFERROR(VLOOKUP(A23,Справочники!$B$5:$C$18,2,FALSE),""))</f>
        <v/>
      </c>
      <c r="J23" s="13">
        <f>IF(F23="","",IFERROR(ROUND(F23/$F$65,4),""))</f>
        <v/>
      </c>
      <c r="K23" s="8" t="inlineStr">
        <is>
          <t>Внесено суммой на объём</t>
        </is>
      </c>
    </row>
    <row r="24">
      <c r="A24" s="14" t="n"/>
      <c r="B24" s="14" t="n"/>
      <c r="C24" s="14" t="n"/>
      <c r="D24" s="15" t="n"/>
      <c r="E24" s="15" t="n"/>
      <c r="F24" s="10">
        <f>IF(AND(D24&lt;&gt;"",E24&lt;&gt;""),ROUND(D24*E24,2),IF(H24&lt;&gt;"",ROUND(H24/$C$7,2),""))</f>
        <v/>
      </c>
      <c r="G24" s="11">
        <f>IF(F24&lt;&gt;"",ROUND(F24*$C$7,2),"")</f>
        <v/>
      </c>
      <c r="H24" s="12" t="n"/>
      <c r="I24" s="16">
        <f>IF(A24="","",IFERROR(VLOOKUP(A24,Справочники!$B$5:$C$18,2,FALSE),""))</f>
        <v/>
      </c>
      <c r="J24" s="13">
        <f>IF(F24="","",IFERROR(ROUND(F24/$F$65,4),""))</f>
        <v/>
      </c>
      <c r="K24" s="14" t="n"/>
    </row>
    <row r="25">
      <c r="A25" s="14" t="n"/>
      <c r="B25" s="14" t="n"/>
      <c r="C25" s="14" t="n"/>
      <c r="D25" s="15" t="n"/>
      <c r="E25" s="15" t="n"/>
      <c r="F25" s="10">
        <f>IF(AND(D25&lt;&gt;"",E25&lt;&gt;""),ROUND(D25*E25,2),IF(H25&lt;&gt;"",ROUND(H25/$C$7,2),""))</f>
        <v/>
      </c>
      <c r="G25" s="11">
        <f>IF(F25&lt;&gt;"",ROUND(F25*$C$7,2),"")</f>
        <v/>
      </c>
      <c r="H25" s="12" t="n"/>
      <c r="I25" s="16">
        <f>IF(A25="","",IFERROR(VLOOKUP(A25,Справочники!$B$5:$C$18,2,FALSE),""))</f>
        <v/>
      </c>
      <c r="J25" s="13">
        <f>IF(F25="","",IFERROR(ROUND(F25/$F$65,4),""))</f>
        <v/>
      </c>
      <c r="K25" s="14" t="n"/>
    </row>
    <row r="26">
      <c r="A26" s="14" t="n"/>
      <c r="B26" s="14" t="n"/>
      <c r="C26" s="14" t="n"/>
      <c r="D26" s="15" t="n"/>
      <c r="E26" s="15" t="n"/>
      <c r="F26" s="10">
        <f>IF(AND(D26&lt;&gt;"",E26&lt;&gt;""),ROUND(D26*E26,2),IF(H26&lt;&gt;"",ROUND(H26/$C$7,2),""))</f>
        <v/>
      </c>
      <c r="G26" s="11">
        <f>IF(F26&lt;&gt;"",ROUND(F26*$C$7,2),"")</f>
        <v/>
      </c>
      <c r="H26" s="12" t="n"/>
      <c r="I26" s="16">
        <f>IF(A26="","",IFERROR(VLOOKUP(A26,Справочники!$B$5:$C$18,2,FALSE),""))</f>
        <v/>
      </c>
      <c r="J26" s="13">
        <f>IF(F26="","",IFERROR(ROUND(F26/$F$65,4),""))</f>
        <v/>
      </c>
      <c r="K26" s="14" t="n"/>
    </row>
    <row r="27">
      <c r="A27" s="14" t="n"/>
      <c r="B27" s="14" t="n"/>
      <c r="C27" s="14" t="n"/>
      <c r="D27" s="15" t="n"/>
      <c r="E27" s="15" t="n"/>
      <c r="F27" s="10">
        <f>IF(AND(D27&lt;&gt;"",E27&lt;&gt;""),ROUND(D27*E27,2),IF(H27&lt;&gt;"",ROUND(H27/$C$7,2),""))</f>
        <v/>
      </c>
      <c r="G27" s="11">
        <f>IF(F27&lt;&gt;"",ROUND(F27*$C$7,2),"")</f>
        <v/>
      </c>
      <c r="H27" s="12" t="n"/>
      <c r="I27" s="16">
        <f>IF(A27="","",IFERROR(VLOOKUP(A27,Справочники!$B$5:$C$18,2,FALSE),""))</f>
        <v/>
      </c>
      <c r="J27" s="13">
        <f>IF(F27="","",IFERROR(ROUND(F27/$F$65,4),""))</f>
        <v/>
      </c>
      <c r="K27" s="14" t="n"/>
    </row>
    <row r="28">
      <c r="A28" s="14" t="n"/>
      <c r="B28" s="14" t="n"/>
      <c r="C28" s="14" t="n"/>
      <c r="D28" s="15" t="n"/>
      <c r="E28" s="15" t="n"/>
      <c r="F28" s="10">
        <f>IF(AND(D28&lt;&gt;"",E28&lt;&gt;""),ROUND(D28*E28,2),IF(H28&lt;&gt;"",ROUND(H28/$C$7,2),""))</f>
        <v/>
      </c>
      <c r="G28" s="11">
        <f>IF(F28&lt;&gt;"",ROUND(F28*$C$7,2),"")</f>
        <v/>
      </c>
      <c r="H28" s="12" t="n"/>
      <c r="I28" s="16">
        <f>IF(A28="","",IFERROR(VLOOKUP(A28,Справочники!$B$5:$C$18,2,FALSE),""))</f>
        <v/>
      </c>
      <c r="J28" s="13">
        <f>IF(F28="","",IFERROR(ROUND(F28/$F$65,4),""))</f>
        <v/>
      </c>
      <c r="K28" s="14" t="n"/>
    </row>
    <row r="29">
      <c r="A29" s="14" t="n"/>
      <c r="B29" s="14" t="n"/>
      <c r="C29" s="14" t="n"/>
      <c r="D29" s="15" t="n"/>
      <c r="E29" s="15" t="n"/>
      <c r="F29" s="10">
        <f>IF(AND(D29&lt;&gt;"",E29&lt;&gt;""),ROUND(D29*E29,2),IF(H29&lt;&gt;"",ROUND(H29/$C$7,2),""))</f>
        <v/>
      </c>
      <c r="G29" s="11">
        <f>IF(F29&lt;&gt;"",ROUND(F29*$C$7,2),"")</f>
        <v/>
      </c>
      <c r="H29" s="12" t="n"/>
      <c r="I29" s="16">
        <f>IF(A29="","",IFERROR(VLOOKUP(A29,Справочники!$B$5:$C$18,2,FALSE),""))</f>
        <v/>
      </c>
      <c r="J29" s="13">
        <f>IF(F29="","",IFERROR(ROUND(F29/$F$65,4),""))</f>
        <v/>
      </c>
      <c r="K29" s="14" t="n"/>
    </row>
    <row r="30">
      <c r="A30" s="14" t="n"/>
      <c r="B30" s="14" t="n"/>
      <c r="C30" s="14" t="n"/>
      <c r="D30" s="15" t="n"/>
      <c r="E30" s="15" t="n"/>
      <c r="F30" s="10">
        <f>IF(AND(D30&lt;&gt;"",E30&lt;&gt;""),ROUND(D30*E30,2),IF(H30&lt;&gt;"",ROUND(H30/$C$7,2),""))</f>
        <v/>
      </c>
      <c r="G30" s="11">
        <f>IF(F30&lt;&gt;"",ROUND(F30*$C$7,2),"")</f>
        <v/>
      </c>
      <c r="H30" s="12" t="n"/>
      <c r="I30" s="16">
        <f>IF(A30="","",IFERROR(VLOOKUP(A30,Справочники!$B$5:$C$18,2,FALSE),""))</f>
        <v/>
      </c>
      <c r="J30" s="13">
        <f>IF(F30="","",IFERROR(ROUND(F30/$F$65,4),""))</f>
        <v/>
      </c>
      <c r="K30" s="14" t="n"/>
    </row>
    <row r="31">
      <c r="A31" s="14" t="n"/>
      <c r="B31" s="14" t="n"/>
      <c r="C31" s="14" t="n"/>
      <c r="D31" s="15" t="n"/>
      <c r="E31" s="15" t="n"/>
      <c r="F31" s="10">
        <f>IF(AND(D31&lt;&gt;"",E31&lt;&gt;""),ROUND(D31*E31,2),IF(H31&lt;&gt;"",ROUND(H31/$C$7,2),""))</f>
        <v/>
      </c>
      <c r="G31" s="11">
        <f>IF(F31&lt;&gt;"",ROUND(F31*$C$7,2),"")</f>
        <v/>
      </c>
      <c r="H31" s="12" t="n"/>
      <c r="I31" s="16">
        <f>IF(A31="","",IFERROR(VLOOKUP(A31,Справочники!$B$5:$C$18,2,FALSE),""))</f>
        <v/>
      </c>
      <c r="J31" s="13">
        <f>IF(F31="","",IFERROR(ROUND(F31/$F$65,4),""))</f>
        <v/>
      </c>
      <c r="K31" s="14" t="n"/>
    </row>
    <row r="32">
      <c r="A32" s="14" t="n"/>
      <c r="B32" s="14" t="n"/>
      <c r="C32" s="14" t="n"/>
      <c r="D32" s="15" t="n"/>
      <c r="E32" s="15" t="n"/>
      <c r="F32" s="10">
        <f>IF(AND(D32&lt;&gt;"",E32&lt;&gt;""),ROUND(D32*E32,2),IF(H32&lt;&gt;"",ROUND(H32/$C$7,2),""))</f>
        <v/>
      </c>
      <c r="G32" s="11">
        <f>IF(F32&lt;&gt;"",ROUND(F32*$C$7,2),"")</f>
        <v/>
      </c>
      <c r="H32" s="12" t="n"/>
      <c r="I32" s="16">
        <f>IF(A32="","",IFERROR(VLOOKUP(A32,Справочники!$B$5:$C$18,2,FALSE),""))</f>
        <v/>
      </c>
      <c r="J32" s="13">
        <f>IF(F32="","",IFERROR(ROUND(F32/$F$65,4),""))</f>
        <v/>
      </c>
      <c r="K32" s="14" t="n"/>
    </row>
    <row r="33">
      <c r="A33" s="14" t="n"/>
      <c r="B33" s="14" t="n"/>
      <c r="C33" s="14" t="n"/>
      <c r="D33" s="15" t="n"/>
      <c r="E33" s="15" t="n"/>
      <c r="F33" s="10">
        <f>IF(AND(D33&lt;&gt;"",E33&lt;&gt;""),ROUND(D33*E33,2),IF(H33&lt;&gt;"",ROUND(H33/$C$7,2),""))</f>
        <v/>
      </c>
      <c r="G33" s="11">
        <f>IF(F33&lt;&gt;"",ROUND(F33*$C$7,2),"")</f>
        <v/>
      </c>
      <c r="H33" s="12" t="n"/>
      <c r="I33" s="16">
        <f>IF(A33="","",IFERROR(VLOOKUP(A33,Справочники!$B$5:$C$18,2,FALSE),""))</f>
        <v/>
      </c>
      <c r="J33" s="13">
        <f>IF(F33="","",IFERROR(ROUND(F33/$F$65,4),""))</f>
        <v/>
      </c>
      <c r="K33" s="14" t="n"/>
    </row>
    <row r="34">
      <c r="A34" s="14" t="n"/>
      <c r="B34" s="14" t="n"/>
      <c r="C34" s="14" t="n"/>
      <c r="D34" s="15" t="n"/>
      <c r="E34" s="15" t="n"/>
      <c r="F34" s="10">
        <f>IF(AND(D34&lt;&gt;"",E34&lt;&gt;""),ROUND(D34*E34,2),IF(H34&lt;&gt;"",ROUND(H34/$C$7,2),""))</f>
        <v/>
      </c>
      <c r="G34" s="11">
        <f>IF(F34&lt;&gt;"",ROUND(F34*$C$7,2),"")</f>
        <v/>
      </c>
      <c r="H34" s="12" t="n"/>
      <c r="I34" s="16">
        <f>IF(A34="","",IFERROR(VLOOKUP(A34,Справочники!$B$5:$C$18,2,FALSE),""))</f>
        <v/>
      </c>
      <c r="J34" s="13">
        <f>IF(F34="","",IFERROR(ROUND(F34/$F$65,4),""))</f>
        <v/>
      </c>
      <c r="K34" s="14" t="n"/>
    </row>
    <row r="35">
      <c r="A35" s="14" t="n"/>
      <c r="B35" s="14" t="n"/>
      <c r="C35" s="14" t="n"/>
      <c r="D35" s="15" t="n"/>
      <c r="E35" s="15" t="n"/>
      <c r="F35" s="10">
        <f>IF(AND(D35&lt;&gt;"",E35&lt;&gt;""),ROUND(D35*E35,2),IF(H35&lt;&gt;"",ROUND(H35/$C$7,2),""))</f>
        <v/>
      </c>
      <c r="G35" s="11">
        <f>IF(F35&lt;&gt;"",ROUND(F35*$C$7,2),"")</f>
        <v/>
      </c>
      <c r="H35" s="12" t="n"/>
      <c r="I35" s="16">
        <f>IF(A35="","",IFERROR(VLOOKUP(A35,Справочники!$B$5:$C$18,2,FALSE),""))</f>
        <v/>
      </c>
      <c r="J35" s="13">
        <f>IF(F35="","",IFERROR(ROUND(F35/$F$65,4),""))</f>
        <v/>
      </c>
      <c r="K35" s="14" t="n"/>
    </row>
    <row r="36">
      <c r="A36" s="14" t="n"/>
      <c r="B36" s="14" t="n"/>
      <c r="C36" s="14" t="n"/>
      <c r="D36" s="15" t="n"/>
      <c r="E36" s="15" t="n"/>
      <c r="F36" s="10">
        <f>IF(AND(D36&lt;&gt;"",E36&lt;&gt;""),ROUND(D36*E36,2),IF(H36&lt;&gt;"",ROUND(H36/$C$7,2),""))</f>
        <v/>
      </c>
      <c r="G36" s="11">
        <f>IF(F36&lt;&gt;"",ROUND(F36*$C$7,2),"")</f>
        <v/>
      </c>
      <c r="H36" s="12" t="n"/>
      <c r="I36" s="16">
        <f>IF(A36="","",IFERROR(VLOOKUP(A36,Справочники!$B$5:$C$18,2,FALSE),""))</f>
        <v/>
      </c>
      <c r="J36" s="13">
        <f>IF(F36="","",IFERROR(ROUND(F36/$F$65,4),""))</f>
        <v/>
      </c>
      <c r="K36" s="14" t="n"/>
    </row>
    <row r="37">
      <c r="A37" s="14" t="n"/>
      <c r="B37" s="14" t="n"/>
      <c r="C37" s="14" t="n"/>
      <c r="D37" s="15" t="n"/>
      <c r="E37" s="15" t="n"/>
      <c r="F37" s="10">
        <f>IF(AND(D37&lt;&gt;"",E37&lt;&gt;""),ROUND(D37*E37,2),IF(H37&lt;&gt;"",ROUND(H37/$C$7,2),""))</f>
        <v/>
      </c>
      <c r="G37" s="11">
        <f>IF(F37&lt;&gt;"",ROUND(F37*$C$7,2),"")</f>
        <v/>
      </c>
      <c r="H37" s="12" t="n"/>
      <c r="I37" s="16">
        <f>IF(A37="","",IFERROR(VLOOKUP(A37,Справочники!$B$5:$C$18,2,FALSE),""))</f>
        <v/>
      </c>
      <c r="J37" s="13">
        <f>IF(F37="","",IFERROR(ROUND(F37/$F$65,4),""))</f>
        <v/>
      </c>
      <c r="K37" s="14" t="n"/>
    </row>
    <row r="38">
      <c r="A38" s="14" t="n"/>
      <c r="B38" s="14" t="n"/>
      <c r="C38" s="14" t="n"/>
      <c r="D38" s="15" t="n"/>
      <c r="E38" s="15" t="n"/>
      <c r="F38" s="10">
        <f>IF(AND(D38&lt;&gt;"",E38&lt;&gt;""),ROUND(D38*E38,2),IF(H38&lt;&gt;"",ROUND(H38/$C$7,2),""))</f>
        <v/>
      </c>
      <c r="G38" s="11">
        <f>IF(F38&lt;&gt;"",ROUND(F38*$C$7,2),"")</f>
        <v/>
      </c>
      <c r="H38" s="12" t="n"/>
      <c r="I38" s="16">
        <f>IF(A38="","",IFERROR(VLOOKUP(A38,Справочники!$B$5:$C$18,2,FALSE),""))</f>
        <v/>
      </c>
      <c r="J38" s="13">
        <f>IF(F38="","",IFERROR(ROUND(F38/$F$65,4),""))</f>
        <v/>
      </c>
      <c r="K38" s="14" t="n"/>
    </row>
    <row r="39">
      <c r="A39" s="14" t="n"/>
      <c r="B39" s="14" t="n"/>
      <c r="C39" s="14" t="n"/>
      <c r="D39" s="15" t="n"/>
      <c r="E39" s="15" t="n"/>
      <c r="F39" s="10">
        <f>IF(AND(D39&lt;&gt;"",E39&lt;&gt;""),ROUND(D39*E39,2),IF(H39&lt;&gt;"",ROUND(H39/$C$7,2),""))</f>
        <v/>
      </c>
      <c r="G39" s="11">
        <f>IF(F39&lt;&gt;"",ROUND(F39*$C$7,2),"")</f>
        <v/>
      </c>
      <c r="H39" s="12" t="n"/>
      <c r="I39" s="16">
        <f>IF(A39="","",IFERROR(VLOOKUP(A39,Справочники!$B$5:$C$18,2,FALSE),""))</f>
        <v/>
      </c>
      <c r="J39" s="13">
        <f>IF(F39="","",IFERROR(ROUND(F39/$F$65,4),""))</f>
        <v/>
      </c>
      <c r="K39" s="14" t="n"/>
    </row>
    <row r="40">
      <c r="A40" s="14" t="n"/>
      <c r="B40" s="14" t="n"/>
      <c r="C40" s="14" t="n"/>
      <c r="D40" s="15" t="n"/>
      <c r="E40" s="15" t="n"/>
      <c r="F40" s="10">
        <f>IF(AND(D40&lt;&gt;"",E40&lt;&gt;""),ROUND(D40*E40,2),IF(H40&lt;&gt;"",ROUND(H40/$C$7,2),""))</f>
        <v/>
      </c>
      <c r="G40" s="11">
        <f>IF(F40&lt;&gt;"",ROUND(F40*$C$7,2),"")</f>
        <v/>
      </c>
      <c r="H40" s="12" t="n"/>
      <c r="I40" s="16">
        <f>IF(A40="","",IFERROR(VLOOKUP(A40,Справочники!$B$5:$C$18,2,FALSE),""))</f>
        <v/>
      </c>
      <c r="J40" s="13">
        <f>IF(F40="","",IFERROR(ROUND(F40/$F$65,4),""))</f>
        <v/>
      </c>
      <c r="K40" s="14" t="n"/>
    </row>
    <row r="41">
      <c r="A41" s="14" t="n"/>
      <c r="B41" s="14" t="n"/>
      <c r="C41" s="14" t="n"/>
      <c r="D41" s="15" t="n"/>
      <c r="E41" s="15" t="n"/>
      <c r="F41" s="10">
        <f>IF(AND(D41&lt;&gt;"",E41&lt;&gt;""),ROUND(D41*E41,2),IF(H41&lt;&gt;"",ROUND(H41/$C$7,2),""))</f>
        <v/>
      </c>
      <c r="G41" s="11">
        <f>IF(F41&lt;&gt;"",ROUND(F41*$C$7,2),"")</f>
        <v/>
      </c>
      <c r="H41" s="12" t="n"/>
      <c r="I41" s="16">
        <f>IF(A41="","",IFERROR(VLOOKUP(A41,Справочники!$B$5:$C$18,2,FALSE),""))</f>
        <v/>
      </c>
      <c r="J41" s="13">
        <f>IF(F41="","",IFERROR(ROUND(F41/$F$65,4),""))</f>
        <v/>
      </c>
      <c r="K41" s="14" t="n"/>
    </row>
    <row r="42">
      <c r="A42" s="14" t="n"/>
      <c r="B42" s="14" t="n"/>
      <c r="C42" s="14" t="n"/>
      <c r="D42" s="15" t="n"/>
      <c r="E42" s="15" t="n"/>
      <c r="F42" s="10">
        <f>IF(AND(D42&lt;&gt;"",E42&lt;&gt;""),ROUND(D42*E42,2),IF(H42&lt;&gt;"",ROUND(H42/$C$7,2),""))</f>
        <v/>
      </c>
      <c r="G42" s="11">
        <f>IF(F42&lt;&gt;"",ROUND(F42*$C$7,2),"")</f>
        <v/>
      </c>
      <c r="H42" s="12" t="n"/>
      <c r="I42" s="16">
        <f>IF(A42="","",IFERROR(VLOOKUP(A42,Справочники!$B$5:$C$18,2,FALSE),""))</f>
        <v/>
      </c>
      <c r="J42" s="13">
        <f>IF(F42="","",IFERROR(ROUND(F42/$F$65,4),""))</f>
        <v/>
      </c>
      <c r="K42" s="14" t="n"/>
    </row>
    <row r="43">
      <c r="A43" s="14" t="n"/>
      <c r="B43" s="14" t="n"/>
      <c r="C43" s="14" t="n"/>
      <c r="D43" s="15" t="n"/>
      <c r="E43" s="15" t="n"/>
      <c r="F43" s="10">
        <f>IF(AND(D43&lt;&gt;"",E43&lt;&gt;""),ROUND(D43*E43,2),IF(H43&lt;&gt;"",ROUND(H43/$C$7,2),""))</f>
        <v/>
      </c>
      <c r="G43" s="11">
        <f>IF(F43&lt;&gt;"",ROUND(F43*$C$7,2),"")</f>
        <v/>
      </c>
      <c r="H43" s="12" t="n"/>
      <c r="I43" s="16">
        <f>IF(A43="","",IFERROR(VLOOKUP(A43,Справочники!$B$5:$C$18,2,FALSE),""))</f>
        <v/>
      </c>
      <c r="J43" s="13">
        <f>IF(F43="","",IFERROR(ROUND(F43/$F$65,4),""))</f>
        <v/>
      </c>
      <c r="K43" s="14" t="n"/>
    </row>
    <row r="44">
      <c r="A44" s="14" t="n"/>
      <c r="B44" s="14" t="n"/>
      <c r="C44" s="14" t="n"/>
      <c r="D44" s="15" t="n"/>
      <c r="E44" s="15" t="n"/>
      <c r="F44" s="10">
        <f>IF(AND(D44&lt;&gt;"",E44&lt;&gt;""),ROUND(D44*E44,2),IF(H44&lt;&gt;"",ROUND(H44/$C$7,2),""))</f>
        <v/>
      </c>
      <c r="G44" s="11">
        <f>IF(F44&lt;&gt;"",ROUND(F44*$C$7,2),"")</f>
        <v/>
      </c>
      <c r="H44" s="12" t="n"/>
      <c r="I44" s="16">
        <f>IF(A44="","",IFERROR(VLOOKUP(A44,Справочники!$B$5:$C$18,2,FALSE),""))</f>
        <v/>
      </c>
      <c r="J44" s="13">
        <f>IF(F44="","",IFERROR(ROUND(F44/$F$65,4),""))</f>
        <v/>
      </c>
      <c r="K44" s="14" t="n"/>
    </row>
    <row r="45">
      <c r="A45" s="14" t="n"/>
      <c r="B45" s="14" t="n"/>
      <c r="C45" s="14" t="n"/>
      <c r="D45" s="15" t="n"/>
      <c r="E45" s="15" t="n"/>
      <c r="F45" s="10">
        <f>IF(AND(D45&lt;&gt;"",E45&lt;&gt;""),ROUND(D45*E45,2),IF(H45&lt;&gt;"",ROUND(H45/$C$7,2),""))</f>
        <v/>
      </c>
      <c r="G45" s="11">
        <f>IF(F45&lt;&gt;"",ROUND(F45*$C$7,2),"")</f>
        <v/>
      </c>
      <c r="H45" s="12" t="n"/>
      <c r="I45" s="16">
        <f>IF(A45="","",IFERROR(VLOOKUP(A45,Справочники!$B$5:$C$18,2,FALSE),""))</f>
        <v/>
      </c>
      <c r="J45" s="13">
        <f>IF(F45="","",IFERROR(ROUND(F45/$F$65,4),""))</f>
        <v/>
      </c>
      <c r="K45" s="14" t="n"/>
    </row>
    <row r="46">
      <c r="A46" s="14" t="n"/>
      <c r="B46" s="14" t="n"/>
      <c r="C46" s="14" t="n"/>
      <c r="D46" s="15" t="n"/>
      <c r="E46" s="15" t="n"/>
      <c r="F46" s="10">
        <f>IF(AND(D46&lt;&gt;"",E46&lt;&gt;""),ROUND(D46*E46,2),IF(H46&lt;&gt;"",ROUND(H46/$C$7,2),""))</f>
        <v/>
      </c>
      <c r="G46" s="11">
        <f>IF(F46&lt;&gt;"",ROUND(F46*$C$7,2),"")</f>
        <v/>
      </c>
      <c r="H46" s="12" t="n"/>
      <c r="I46" s="16">
        <f>IF(A46="","",IFERROR(VLOOKUP(A46,Справочники!$B$5:$C$18,2,FALSE),""))</f>
        <v/>
      </c>
      <c r="J46" s="13">
        <f>IF(F46="","",IFERROR(ROUND(F46/$F$65,4),""))</f>
        <v/>
      </c>
      <c r="K46" s="14" t="n"/>
    </row>
    <row r="47">
      <c r="A47" s="14" t="n"/>
      <c r="B47" s="14" t="n"/>
      <c r="C47" s="14" t="n"/>
      <c r="D47" s="15" t="n"/>
      <c r="E47" s="15" t="n"/>
      <c r="F47" s="10">
        <f>IF(AND(D47&lt;&gt;"",E47&lt;&gt;""),ROUND(D47*E47,2),IF(H47&lt;&gt;"",ROUND(H47/$C$7,2),""))</f>
        <v/>
      </c>
      <c r="G47" s="11">
        <f>IF(F47&lt;&gt;"",ROUND(F47*$C$7,2),"")</f>
        <v/>
      </c>
      <c r="H47" s="12" t="n"/>
      <c r="I47" s="16">
        <f>IF(A47="","",IFERROR(VLOOKUP(A47,Справочники!$B$5:$C$18,2,FALSE),""))</f>
        <v/>
      </c>
      <c r="J47" s="13">
        <f>IF(F47="","",IFERROR(ROUND(F47/$F$65,4),""))</f>
        <v/>
      </c>
      <c r="K47" s="14" t="n"/>
    </row>
    <row r="48">
      <c r="A48" s="14" t="n"/>
      <c r="B48" s="14" t="n"/>
      <c r="C48" s="14" t="n"/>
      <c r="D48" s="15" t="n"/>
      <c r="E48" s="15" t="n"/>
      <c r="F48" s="10">
        <f>IF(AND(D48&lt;&gt;"",E48&lt;&gt;""),ROUND(D48*E48,2),IF(H48&lt;&gt;"",ROUND(H48/$C$7,2),""))</f>
        <v/>
      </c>
      <c r="G48" s="11">
        <f>IF(F48&lt;&gt;"",ROUND(F48*$C$7,2),"")</f>
        <v/>
      </c>
      <c r="H48" s="12" t="n"/>
      <c r="I48" s="16">
        <f>IF(A48="","",IFERROR(VLOOKUP(A48,Справочники!$B$5:$C$18,2,FALSE),""))</f>
        <v/>
      </c>
      <c r="J48" s="13">
        <f>IF(F48="","",IFERROR(ROUND(F48/$F$65,4),""))</f>
        <v/>
      </c>
      <c r="K48" s="14" t="n"/>
    </row>
    <row r="49">
      <c r="A49" s="14" t="n"/>
      <c r="B49" s="14" t="n"/>
      <c r="C49" s="14" t="n"/>
      <c r="D49" s="15" t="n"/>
      <c r="E49" s="15" t="n"/>
      <c r="F49" s="10">
        <f>IF(AND(D49&lt;&gt;"",E49&lt;&gt;""),ROUND(D49*E49,2),IF(H49&lt;&gt;"",ROUND(H49/$C$7,2),""))</f>
        <v/>
      </c>
      <c r="G49" s="11">
        <f>IF(F49&lt;&gt;"",ROUND(F49*$C$7,2),"")</f>
        <v/>
      </c>
      <c r="H49" s="12" t="n"/>
      <c r="I49" s="16">
        <f>IF(A49="","",IFERROR(VLOOKUP(A49,Справочники!$B$5:$C$18,2,FALSE),""))</f>
        <v/>
      </c>
      <c r="J49" s="13">
        <f>IF(F49="","",IFERROR(ROUND(F49/$F$65,4),""))</f>
        <v/>
      </c>
      <c r="K49" s="14" t="n"/>
    </row>
    <row r="50">
      <c r="A50" s="14" t="n"/>
      <c r="B50" s="14" t="n"/>
      <c r="C50" s="14" t="n"/>
      <c r="D50" s="15" t="n"/>
      <c r="E50" s="15" t="n"/>
      <c r="F50" s="10">
        <f>IF(AND(D50&lt;&gt;"",E50&lt;&gt;""),ROUND(D50*E50,2),IF(H50&lt;&gt;"",ROUND(H50/$C$7,2),""))</f>
        <v/>
      </c>
      <c r="G50" s="11">
        <f>IF(F50&lt;&gt;"",ROUND(F50*$C$7,2),"")</f>
        <v/>
      </c>
      <c r="H50" s="12" t="n"/>
      <c r="I50" s="16">
        <f>IF(A50="","",IFERROR(VLOOKUP(A50,Справочники!$B$5:$C$18,2,FALSE),""))</f>
        <v/>
      </c>
      <c r="J50" s="13">
        <f>IF(F50="","",IFERROR(ROUND(F50/$F$65,4),""))</f>
        <v/>
      </c>
      <c r="K50" s="14" t="n"/>
    </row>
    <row r="51">
      <c r="A51" s="14" t="n"/>
      <c r="B51" s="14" t="n"/>
      <c r="C51" s="14" t="n"/>
      <c r="D51" s="15" t="n"/>
      <c r="E51" s="15" t="n"/>
      <c r="F51" s="10">
        <f>IF(AND(D51&lt;&gt;"",E51&lt;&gt;""),ROUND(D51*E51,2),IF(H51&lt;&gt;"",ROUND(H51/$C$7,2),""))</f>
        <v/>
      </c>
      <c r="G51" s="11">
        <f>IF(F51&lt;&gt;"",ROUND(F51*$C$7,2),"")</f>
        <v/>
      </c>
      <c r="H51" s="12" t="n"/>
      <c r="I51" s="16">
        <f>IF(A51="","",IFERROR(VLOOKUP(A51,Справочники!$B$5:$C$18,2,FALSE),""))</f>
        <v/>
      </c>
      <c r="J51" s="13">
        <f>IF(F51="","",IFERROR(ROUND(F51/$F$65,4),""))</f>
        <v/>
      </c>
      <c r="K51" s="14" t="n"/>
    </row>
    <row r="52">
      <c r="A52" s="14" t="n"/>
      <c r="B52" s="14" t="n"/>
      <c r="C52" s="14" t="n"/>
      <c r="D52" s="15" t="n"/>
      <c r="E52" s="15" t="n"/>
      <c r="F52" s="10">
        <f>IF(AND(D52&lt;&gt;"",E52&lt;&gt;""),ROUND(D52*E52,2),IF(H52&lt;&gt;"",ROUND(H52/$C$7,2),""))</f>
        <v/>
      </c>
      <c r="G52" s="11">
        <f>IF(F52&lt;&gt;"",ROUND(F52*$C$7,2),"")</f>
        <v/>
      </c>
      <c r="H52" s="12" t="n"/>
      <c r="I52" s="16">
        <f>IF(A52="","",IFERROR(VLOOKUP(A52,Справочники!$B$5:$C$18,2,FALSE),""))</f>
        <v/>
      </c>
      <c r="J52" s="13">
        <f>IF(F52="","",IFERROR(ROUND(F52/$F$65,4),""))</f>
        <v/>
      </c>
      <c r="K52" s="14" t="n"/>
    </row>
    <row r="53">
      <c r="A53" s="14" t="n"/>
      <c r="B53" s="14" t="n"/>
      <c r="C53" s="14" t="n"/>
      <c r="D53" s="15" t="n"/>
      <c r="E53" s="15" t="n"/>
      <c r="F53" s="10">
        <f>IF(AND(D53&lt;&gt;"",E53&lt;&gt;""),ROUND(D53*E53,2),IF(H53&lt;&gt;"",ROUND(H53/$C$7,2),""))</f>
        <v/>
      </c>
      <c r="G53" s="11">
        <f>IF(F53&lt;&gt;"",ROUND(F53*$C$7,2),"")</f>
        <v/>
      </c>
      <c r="H53" s="12" t="n"/>
      <c r="I53" s="16">
        <f>IF(A53="","",IFERROR(VLOOKUP(A53,Справочники!$B$5:$C$18,2,FALSE),""))</f>
        <v/>
      </c>
      <c r="J53" s="13">
        <f>IF(F53="","",IFERROR(ROUND(F53/$F$65,4),""))</f>
        <v/>
      </c>
      <c r="K53" s="14" t="n"/>
    </row>
    <row r="54">
      <c r="A54" s="14" t="n"/>
      <c r="B54" s="14" t="n"/>
      <c r="C54" s="14" t="n"/>
      <c r="D54" s="15" t="n"/>
      <c r="E54" s="15" t="n"/>
      <c r="F54" s="10">
        <f>IF(AND(D54&lt;&gt;"",E54&lt;&gt;""),ROUND(D54*E54,2),IF(H54&lt;&gt;"",ROUND(H54/$C$7,2),""))</f>
        <v/>
      </c>
      <c r="G54" s="11">
        <f>IF(F54&lt;&gt;"",ROUND(F54*$C$7,2),"")</f>
        <v/>
      </c>
      <c r="H54" s="12" t="n"/>
      <c r="I54" s="16">
        <f>IF(A54="","",IFERROR(VLOOKUP(A54,Справочники!$B$5:$C$18,2,FALSE),""))</f>
        <v/>
      </c>
      <c r="J54" s="13">
        <f>IF(F54="","",IFERROR(ROUND(F54/$F$65,4),""))</f>
        <v/>
      </c>
      <c r="K54" s="14" t="n"/>
    </row>
    <row r="55">
      <c r="A55" s="14" t="n"/>
      <c r="B55" s="14" t="n"/>
      <c r="C55" s="14" t="n"/>
      <c r="D55" s="15" t="n"/>
      <c r="E55" s="15" t="n"/>
      <c r="F55" s="10">
        <f>IF(AND(D55&lt;&gt;"",E55&lt;&gt;""),ROUND(D55*E55,2),IF(H55&lt;&gt;"",ROUND(H55/$C$7,2),""))</f>
        <v/>
      </c>
      <c r="G55" s="11">
        <f>IF(F55&lt;&gt;"",ROUND(F55*$C$7,2),"")</f>
        <v/>
      </c>
      <c r="H55" s="12" t="n"/>
      <c r="I55" s="16">
        <f>IF(A55="","",IFERROR(VLOOKUP(A55,Справочники!$B$5:$C$18,2,FALSE),""))</f>
        <v/>
      </c>
      <c r="J55" s="13">
        <f>IF(F55="","",IFERROR(ROUND(F55/$F$65,4),""))</f>
        <v/>
      </c>
      <c r="K55" s="14" t="n"/>
    </row>
    <row r="56">
      <c r="A56" s="14" t="n"/>
      <c r="B56" s="14" t="n"/>
      <c r="C56" s="14" t="n"/>
      <c r="D56" s="15" t="n"/>
      <c r="E56" s="15" t="n"/>
      <c r="F56" s="10">
        <f>IF(AND(D56&lt;&gt;"",E56&lt;&gt;""),ROUND(D56*E56,2),IF(H56&lt;&gt;"",ROUND(H56/$C$7,2),""))</f>
        <v/>
      </c>
      <c r="G56" s="11">
        <f>IF(F56&lt;&gt;"",ROUND(F56*$C$7,2),"")</f>
        <v/>
      </c>
      <c r="H56" s="12" t="n"/>
      <c r="I56" s="16">
        <f>IF(A56="","",IFERROR(VLOOKUP(A56,Справочники!$B$5:$C$18,2,FALSE),""))</f>
        <v/>
      </c>
      <c r="J56" s="13">
        <f>IF(F56="","",IFERROR(ROUND(F56/$F$65,4),""))</f>
        <v/>
      </c>
      <c r="K56" s="14" t="n"/>
    </row>
    <row r="57">
      <c r="A57" s="14" t="n"/>
      <c r="B57" s="14" t="n"/>
      <c r="C57" s="14" t="n"/>
      <c r="D57" s="15" t="n"/>
      <c r="E57" s="15" t="n"/>
      <c r="F57" s="10">
        <f>IF(AND(D57&lt;&gt;"",E57&lt;&gt;""),ROUND(D57*E57,2),IF(H57&lt;&gt;"",ROUND(H57/$C$7,2),""))</f>
        <v/>
      </c>
      <c r="G57" s="11">
        <f>IF(F57&lt;&gt;"",ROUND(F57*$C$7,2),"")</f>
        <v/>
      </c>
      <c r="H57" s="12" t="n"/>
      <c r="I57" s="16">
        <f>IF(A57="","",IFERROR(VLOOKUP(A57,Справочники!$B$5:$C$18,2,FALSE),""))</f>
        <v/>
      </c>
      <c r="J57" s="13">
        <f>IF(F57="","",IFERROR(ROUND(F57/$F$65,4),""))</f>
        <v/>
      </c>
      <c r="K57" s="14" t="n"/>
    </row>
    <row r="58">
      <c r="A58" s="14" t="n"/>
      <c r="B58" s="14" t="n"/>
      <c r="C58" s="14" t="n"/>
      <c r="D58" s="15" t="n"/>
      <c r="E58" s="15" t="n"/>
      <c r="F58" s="10">
        <f>IF(AND(D58&lt;&gt;"",E58&lt;&gt;""),ROUND(D58*E58,2),IF(H58&lt;&gt;"",ROUND(H58/$C$7,2),""))</f>
        <v/>
      </c>
      <c r="G58" s="11">
        <f>IF(F58&lt;&gt;"",ROUND(F58*$C$7,2),"")</f>
        <v/>
      </c>
      <c r="H58" s="12" t="n"/>
      <c r="I58" s="16">
        <f>IF(A58="","",IFERROR(VLOOKUP(A58,Справочники!$B$5:$C$18,2,FALSE),""))</f>
        <v/>
      </c>
      <c r="J58" s="13">
        <f>IF(F58="","",IFERROR(ROUND(F58/$F$65,4),""))</f>
        <v/>
      </c>
      <c r="K58" s="14" t="n"/>
    </row>
    <row r="59">
      <c r="A59" s="14" t="n"/>
      <c r="B59" s="14" t="n"/>
      <c r="C59" s="14" t="n"/>
      <c r="D59" s="15" t="n"/>
      <c r="E59" s="15" t="n"/>
      <c r="F59" s="10">
        <f>IF(AND(D59&lt;&gt;"",E59&lt;&gt;""),ROUND(D59*E59,2),IF(H59&lt;&gt;"",ROUND(H59/$C$7,2),""))</f>
        <v/>
      </c>
      <c r="G59" s="11">
        <f>IF(F59&lt;&gt;"",ROUND(F59*$C$7,2),"")</f>
        <v/>
      </c>
      <c r="H59" s="12" t="n"/>
      <c r="I59" s="16">
        <f>IF(A59="","",IFERROR(VLOOKUP(A59,Справочники!$B$5:$C$18,2,FALSE),""))</f>
        <v/>
      </c>
      <c r="J59" s="13">
        <f>IF(F59="","",IFERROR(ROUND(F59/$F$65,4),""))</f>
        <v/>
      </c>
      <c r="K59" s="14" t="n"/>
    </row>
    <row r="60">
      <c r="A60" s="14" t="n"/>
      <c r="B60" s="14" t="n"/>
      <c r="C60" s="14" t="n"/>
      <c r="D60" s="15" t="n"/>
      <c r="E60" s="15" t="n"/>
      <c r="F60" s="10">
        <f>IF(AND(D60&lt;&gt;"",E60&lt;&gt;""),ROUND(D60*E60,2),IF(H60&lt;&gt;"",ROUND(H60/$C$7,2),""))</f>
        <v/>
      </c>
      <c r="G60" s="11">
        <f>IF(F60&lt;&gt;"",ROUND(F60*$C$7,2),"")</f>
        <v/>
      </c>
      <c r="H60" s="12" t="n"/>
      <c r="I60" s="16">
        <f>IF(A60="","",IFERROR(VLOOKUP(A60,Справочники!$B$5:$C$18,2,FALSE),""))</f>
        <v/>
      </c>
      <c r="J60" s="13">
        <f>IF(F60="","",IFERROR(ROUND(F60/$F$65,4),""))</f>
        <v/>
      </c>
      <c r="K60" s="14" t="n"/>
    </row>
    <row r="61">
      <c r="A61" s="14" t="n"/>
      <c r="B61" s="14" t="n"/>
      <c r="C61" s="14" t="n"/>
      <c r="D61" s="15" t="n"/>
      <c r="E61" s="15" t="n"/>
      <c r="F61" s="10">
        <f>IF(AND(D61&lt;&gt;"",E61&lt;&gt;""),ROUND(D61*E61,2),IF(H61&lt;&gt;"",ROUND(H61/$C$7,2),""))</f>
        <v/>
      </c>
      <c r="G61" s="11">
        <f>IF(F61&lt;&gt;"",ROUND(F61*$C$7,2),"")</f>
        <v/>
      </c>
      <c r="H61" s="12" t="n"/>
      <c r="I61" s="16">
        <f>IF(A61="","",IFERROR(VLOOKUP(A61,Справочники!$B$5:$C$18,2,FALSE),""))</f>
        <v/>
      </c>
      <c r="J61" s="13">
        <f>IF(F61="","",IFERROR(ROUND(F61/$F$65,4),""))</f>
        <v/>
      </c>
      <c r="K61" s="14" t="n"/>
    </row>
    <row r="63">
      <c r="A63" s="17" t="n"/>
      <c r="B63" s="18" t="inlineStr">
        <is>
          <t>ИТОГО прямые затраты</t>
        </is>
      </c>
      <c r="C63" s="17" t="n"/>
      <c r="D63" s="17" t="n"/>
      <c r="E63" s="17" t="n"/>
      <c r="F63" s="19">
        <f>ROUND(SUMIF($I$12:$I$61,"Прямые",$F$12:$F$61),2)</f>
        <v/>
      </c>
      <c r="G63" s="19">
        <f>ROUND(SUMIF($I$12:$I$61,"Прямые",$G$12:$G$61),2)</f>
        <v/>
      </c>
      <c r="H63" s="17" t="n"/>
      <c r="I63" s="17" t="n"/>
      <c r="J63" s="17" t="n"/>
      <c r="K63" s="17" t="n"/>
    </row>
    <row r="64">
      <c r="A64" s="17" t="n"/>
      <c r="B64" s="18" t="inlineStr">
        <is>
          <t>ИТОГО косвенные затраты</t>
        </is>
      </c>
      <c r="C64" s="17" t="n"/>
      <c r="D64" s="17" t="n"/>
      <c r="E64" s="17" t="n"/>
      <c r="F64" s="19">
        <f>ROUND(SUMIF($I$12:$I$61,"Косвенные",$F$12:$F$61),2)</f>
        <v/>
      </c>
      <c r="G64" s="19">
        <f>ROUND(SUMIF($I$12:$I$61,"Косвенные",$G$12:$G$61),2)</f>
        <v/>
      </c>
      <c r="H64" s="17" t="n"/>
      <c r="I64" s="17" t="n"/>
      <c r="J64" s="17" t="n"/>
      <c r="K64" s="17" t="n"/>
    </row>
    <row r="65">
      <c r="A65" s="17" t="n"/>
      <c r="B65" s="18" t="inlineStr">
        <is>
          <t>ПОЛНАЯ себестоимость</t>
        </is>
      </c>
      <c r="C65" s="17" t="n"/>
      <c r="D65" s="17" t="n"/>
      <c r="E65" s="17" t="n"/>
      <c r="F65" s="19">
        <f>ROUND(F63+F64,2)</f>
        <v/>
      </c>
      <c r="G65" s="19">
        <f>ROUND(G63+G64,2)</f>
        <v/>
      </c>
      <c r="H65" s="17" t="n"/>
      <c r="I65" s="17" t="n"/>
      <c r="J65" s="17" t="n"/>
      <c r="K65" s="20" t="inlineStr">
        <is>
          <t>столбец F — на единицу продукции, G — на весь объём</t>
        </is>
      </c>
    </row>
    <row r="67">
      <c r="B67" s="21" t="inlineStr">
        <is>
          <t>Доля прямых затрат в себестоимости</t>
        </is>
      </c>
      <c r="F67" s="22">
        <f>IFERROR(ROUND(F63/F65,4),"")</f>
        <v/>
      </c>
    </row>
  </sheetData>
  <conditionalFormatting sqref="D12:D61">
    <cfRule type="expression" priority="1" dxfId="0" stopIfTrue="0">
      <formula>AND($D12&lt;&gt;"",$E12="")</formula>
    </cfRule>
  </conditionalFormatting>
  <conditionalFormatting sqref="E12:E61">
    <cfRule type="expression" priority="2" dxfId="0" stopIfTrue="0">
      <formula>AND($E12&lt;&gt;"",$D12="")</formula>
    </cfRule>
  </conditionalFormatting>
  <dataValidations count="2">
    <dataValidation sqref="A12:A61" showDropDown="0" showInputMessage="0" showErrorMessage="0" allowBlank="1" error="Выберите статью затрат из списка или добавьте её на лист «Справочники»." type="list">
      <formula1>=Справочники!$B$5:$B$18</formula1>
    </dataValidation>
    <dataValidation sqref="C12:C61" showDropDown="0" showInputMessage="0" showErrorMessage="0" allowBlank="1" type="list">
      <formula1>=Справочники!$E$5:$E$21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41"/>
  <sheetViews>
    <sheetView showGridLines="0" workbookViewId="0">
      <selection activeCell="A1" sqref="A1"/>
    </sheetView>
  </sheetViews>
  <sheetFormatPr baseColWidth="8" defaultRowHeight="15"/>
  <cols>
    <col width="46" customWidth="1" min="2" max="2"/>
    <col width="18" customWidth="1" min="3" max="3"/>
    <col width="18" customWidth="1" min="4" max="4"/>
    <col width="10" customWidth="1" min="5" max="5"/>
  </cols>
  <sheetData>
    <row r="2">
      <c r="B2" s="23" t="inlineStr">
        <is>
          <t>СВОДКА ПО СЕБЕСТОИМОСТИ</t>
        </is>
      </c>
    </row>
    <row r="3">
      <c r="B3" s="2" t="inlineStr">
        <is>
          <t>Значения считаются по листу «Калькуляция». Меняются только жёлтые ячейки: наценка, ставка НДС и объём.</t>
        </is>
      </c>
    </row>
    <row r="5">
      <c r="B5" s="24" t="inlineStr">
        <is>
          <t>Объём выпуска, шт.</t>
        </is>
      </c>
      <c r="C5" s="25">
        <f>Калькуляция!$C$7</f>
        <v/>
      </c>
    </row>
    <row r="6">
      <c r="B6" s="26" t="inlineStr">
        <is>
          <t>Полная себестоимость, ₽</t>
        </is>
      </c>
      <c r="C6" s="27">
        <f>Калькуляция!$G$65</f>
        <v/>
      </c>
    </row>
    <row r="7">
      <c r="B7" s="26" t="inlineStr">
        <is>
          <t>Себестоимость единицы, ₽</t>
        </is>
      </c>
      <c r="C7" s="27">
        <f>Калькуляция!$F$65</f>
        <v/>
      </c>
    </row>
    <row r="8">
      <c r="B8" s="24" t="inlineStr">
        <is>
          <t>Доля прямых затрат</t>
        </is>
      </c>
      <c r="C8" s="28">
        <f>Калькуляция!$F$63/Калькуляция!$F$65</f>
        <v/>
      </c>
    </row>
    <row r="9">
      <c r="B9" s="24" t="inlineStr">
        <is>
          <t>Доля косвенных затрат</t>
        </is>
      </c>
      <c r="C9" s="28">
        <f>Калькуляция!$F$64/Калькуляция!$F$65</f>
        <v/>
      </c>
    </row>
    <row r="11">
      <c r="B11" s="7" t="inlineStr">
        <is>
          <t>Статья затрат</t>
        </is>
      </c>
      <c r="C11" s="7" t="inlineStr">
        <is>
          <t>Группа</t>
        </is>
      </c>
      <c r="D11" s="7" t="inlineStr">
        <is>
          <t>Сумма на объём, ₽</t>
        </is>
      </c>
      <c r="E11" s="7" t="inlineStr">
        <is>
          <t>Доля</t>
        </is>
      </c>
    </row>
    <row r="12">
      <c r="B12" s="29" t="inlineStr">
        <is>
          <t>Сырьё и материалы</t>
        </is>
      </c>
      <c r="C12" s="16" t="inlineStr">
        <is>
          <t>Прямые</t>
        </is>
      </c>
      <c r="D12" s="11">
        <f>ROUND(SUMIF(Калькуляция!$A$12:$A$61,$B12,Калькуляция!$G$12:$G$61),2)</f>
        <v/>
      </c>
      <c r="E12" s="13">
        <f>IFERROR($D12/$C$6,"")</f>
        <v/>
      </c>
    </row>
    <row r="13">
      <c r="B13" s="29" t="inlineStr">
        <is>
          <t>Комплектующие и полуфабрикаты</t>
        </is>
      </c>
      <c r="C13" s="16" t="inlineStr">
        <is>
          <t>Прямые</t>
        </is>
      </c>
      <c r="D13" s="11">
        <f>ROUND(SUMIF(Калькуляция!$A$12:$A$61,$B13,Калькуляция!$G$12:$G$61),2)</f>
        <v/>
      </c>
      <c r="E13" s="13">
        <f>IFERROR($D13/$C$6,"")</f>
        <v/>
      </c>
    </row>
    <row r="14">
      <c r="B14" s="29" t="inlineStr">
        <is>
          <t>Оплата труда производственных рабочих</t>
        </is>
      </c>
      <c r="C14" s="16" t="inlineStr">
        <is>
          <t>Прямые</t>
        </is>
      </c>
      <c r="D14" s="11">
        <f>ROUND(SUMIF(Калькуляция!$A$12:$A$61,$B14,Калькуляция!$G$12:$G$61),2)</f>
        <v/>
      </c>
      <c r="E14" s="13">
        <f>IFERROR($D14/$C$6,"")</f>
        <v/>
      </c>
    </row>
    <row r="15">
      <c r="B15" s="29" t="inlineStr">
        <is>
          <t>Страховые взносы</t>
        </is>
      </c>
      <c r="C15" s="16" t="inlineStr">
        <is>
          <t>Прямые</t>
        </is>
      </c>
      <c r="D15" s="11">
        <f>ROUND(SUMIF(Калькуляция!$A$12:$A$61,$B15,Калькуляция!$G$12:$G$61),2)</f>
        <v/>
      </c>
      <c r="E15" s="13">
        <f>IFERROR($D15/$C$6,"")</f>
        <v/>
      </c>
    </row>
    <row r="16">
      <c r="B16" s="29" t="inlineStr">
        <is>
          <t>Топливо и энергия на технологические цели</t>
        </is>
      </c>
      <c r="C16" s="16" t="inlineStr">
        <is>
          <t>Прямые</t>
        </is>
      </c>
      <c r="D16" s="11">
        <f>ROUND(SUMIF(Калькуляция!$A$12:$A$61,$B16,Калькуляция!$G$12:$G$61),2)</f>
        <v/>
      </c>
      <c r="E16" s="13">
        <f>IFERROR($D16/$C$6,"")</f>
        <v/>
      </c>
    </row>
    <row r="17">
      <c r="B17" s="29" t="inlineStr">
        <is>
          <t>Транспортно-заготовительные расходы</t>
        </is>
      </c>
      <c r="C17" s="16" t="inlineStr">
        <is>
          <t>Прямые</t>
        </is>
      </c>
      <c r="D17" s="11">
        <f>ROUND(SUMIF(Калькуляция!$A$12:$A$61,$B17,Калькуляция!$G$12:$G$61),2)</f>
        <v/>
      </c>
      <c r="E17" s="13">
        <f>IFERROR($D17/$C$6,"")</f>
        <v/>
      </c>
    </row>
    <row r="18">
      <c r="B18" s="29" t="inlineStr">
        <is>
          <t>Упаковка</t>
        </is>
      </c>
      <c r="C18" s="16" t="inlineStr">
        <is>
          <t>Прямые</t>
        </is>
      </c>
      <c r="D18" s="11">
        <f>ROUND(SUMIF(Калькуляция!$A$12:$A$61,$B18,Калькуляция!$G$12:$G$61),2)</f>
        <v/>
      </c>
      <c r="E18" s="13">
        <f>IFERROR($D18/$C$6,"")</f>
        <v/>
      </c>
    </row>
    <row r="19">
      <c r="B19" s="29" t="inlineStr">
        <is>
          <t>Амортизация оборудования</t>
        </is>
      </c>
      <c r="C19" s="16" t="inlineStr">
        <is>
          <t>Косвенные</t>
        </is>
      </c>
      <c r="D19" s="11">
        <f>ROUND(SUMIF(Калькуляция!$A$12:$A$61,$B19,Калькуляция!$G$12:$G$61),2)</f>
        <v/>
      </c>
      <c r="E19" s="13">
        <f>IFERROR($D19/$C$6,"")</f>
        <v/>
      </c>
    </row>
    <row r="20">
      <c r="B20" s="29" t="inlineStr">
        <is>
          <t>Общепроизводственные расходы</t>
        </is>
      </c>
      <c r="C20" s="16" t="inlineStr">
        <is>
          <t>Косвенные</t>
        </is>
      </c>
      <c r="D20" s="11">
        <f>ROUND(SUMIF(Калькуляция!$A$12:$A$61,$B20,Калькуляция!$G$12:$G$61),2)</f>
        <v/>
      </c>
      <c r="E20" s="13">
        <f>IFERROR($D20/$C$6,"")</f>
        <v/>
      </c>
    </row>
    <row r="21">
      <c r="B21" s="29" t="inlineStr">
        <is>
          <t>Общехозяйственные расходы</t>
        </is>
      </c>
      <c r="C21" s="16" t="inlineStr">
        <is>
          <t>Косвенные</t>
        </is>
      </c>
      <c r="D21" s="11">
        <f>ROUND(SUMIF(Калькуляция!$A$12:$A$61,$B21,Калькуляция!$G$12:$G$61),2)</f>
        <v/>
      </c>
      <c r="E21" s="13">
        <f>IFERROR($D21/$C$6,"")</f>
        <v/>
      </c>
    </row>
    <row r="22">
      <c r="B22" s="29" t="inlineStr">
        <is>
          <t>Потери от брака</t>
        </is>
      </c>
      <c r="C22" s="16" t="inlineStr">
        <is>
          <t>Косвенные</t>
        </is>
      </c>
      <c r="D22" s="11">
        <f>ROUND(SUMIF(Калькуляция!$A$12:$A$61,$B22,Калькуляция!$G$12:$G$61),2)</f>
        <v/>
      </c>
      <c r="E22" s="13">
        <f>IFERROR($D22/$C$6,"")</f>
        <v/>
      </c>
    </row>
    <row r="23">
      <c r="B23" s="29" t="inlineStr">
        <is>
          <t>Прочие производственные расходы</t>
        </is>
      </c>
      <c r="C23" s="16" t="inlineStr">
        <is>
          <t>Косвенные</t>
        </is>
      </c>
      <c r="D23" s="11">
        <f>ROUND(SUMIF(Калькуляция!$A$12:$A$61,$B23,Калькуляция!$G$12:$G$61),2)</f>
        <v/>
      </c>
      <c r="E23" s="13">
        <f>IFERROR($D23/$C$6,"")</f>
        <v/>
      </c>
    </row>
    <row r="24">
      <c r="B24" s="29" t="inlineStr">
        <is>
          <t>Коммерческие расходы</t>
        </is>
      </c>
      <c r="C24" s="16" t="inlineStr">
        <is>
          <t>Косвенные</t>
        </is>
      </c>
      <c r="D24" s="11">
        <f>ROUND(SUMIF(Калькуляция!$A$12:$A$61,$B24,Калькуляция!$G$12:$G$61),2)</f>
        <v/>
      </c>
      <c r="E24" s="13">
        <f>IFERROR($D24/$C$6,"")</f>
        <v/>
      </c>
    </row>
    <row r="25">
      <c r="B25" s="29" t="inlineStr">
        <is>
          <t>Резерв: своя статья затрат</t>
        </is>
      </c>
      <c r="C25" s="16" t="inlineStr">
        <is>
          <t>Косвенные</t>
        </is>
      </c>
      <c r="D25" s="11">
        <f>ROUND(SUMIF(Калькуляция!$A$12:$A$61,$B25,Калькуляция!$G$12:$G$61),2)</f>
        <v/>
      </c>
      <c r="E25" s="13">
        <f>IFERROR($D25/$C$6,"")</f>
        <v/>
      </c>
    </row>
    <row r="26">
      <c r="B26" s="30" t="inlineStr">
        <is>
          <t>ИТОГО по статьям</t>
        </is>
      </c>
      <c r="C26" s="17" t="n"/>
      <c r="D26" s="31">
        <f>ROUND(SUM(D12:D25),2)</f>
        <v/>
      </c>
      <c r="E26" s="32">
        <f>IFERROR($D26/$C$6,"")</f>
        <v/>
      </c>
    </row>
    <row r="28">
      <c r="B28" s="33" t="inlineStr">
        <is>
          <t>Если сумма по статьям не совпала с полной себестоимостью — значит в калькуляции есть строка со статьёй, которой нет в списке слева, либо строка без статьи.</t>
        </is>
      </c>
    </row>
    <row r="29"/>
    <row r="31">
      <c r="B31" s="34" t="inlineStr">
        <is>
          <t>ЦЕНА И МАРЖА</t>
        </is>
      </c>
    </row>
    <row r="32">
      <c r="B32" s="35" t="inlineStr">
        <is>
          <t>Наценка на себестоимость</t>
        </is>
      </c>
      <c r="C32" s="36" t="n">
        <v>0.25</v>
      </c>
    </row>
    <row r="33">
      <c r="B33" s="24" t="inlineStr">
        <is>
          <t>Цена без НДС, ₽</t>
        </is>
      </c>
      <c r="C33" s="37">
        <f>ROUND($C$7*(1+$C$32),2)</f>
        <v/>
      </c>
    </row>
    <row r="34">
      <c r="B34" s="35" t="inlineStr">
        <is>
          <t>Ставка НДС</t>
        </is>
      </c>
      <c r="C34" s="36" t="n">
        <v>0.2</v>
      </c>
    </row>
    <row r="35">
      <c r="B35" s="24" t="inlineStr">
        <is>
          <t>НДС, ₽</t>
        </is>
      </c>
      <c r="C35" s="37">
        <f>ROUND($C$33*$C$34,2)</f>
        <v/>
      </c>
    </row>
    <row r="36">
      <c r="B36" s="26" t="inlineStr">
        <is>
          <t>Цена с НДС, ₽</t>
        </is>
      </c>
      <c r="C36" s="27">
        <f>ROUND($C$33+$C$35,2)</f>
        <v/>
      </c>
    </row>
    <row r="37">
      <c r="B37" s="24" t="inlineStr">
        <is>
          <t>Маржа от цены без НДС</t>
        </is>
      </c>
      <c r="C37" s="28">
        <f>IFERROR(ROUND(($C$33-$C$7)/$C$33,4),"")</f>
        <v/>
      </c>
    </row>
    <row r="39">
      <c r="B39" s="33" t="inlineStr">
        <is>
          <t>Наценка и маржа — это про арифметику, а не про рыночную цену. Цена сбыта зависит от спроса, конкурентов и условий сделки; шаблон показывает, что останется при выбранной наценке, и ничего не говорит о том, купит ли продукцию рынок.</t>
        </is>
      </c>
    </row>
    <row r="40"/>
    <row r="41"/>
  </sheetData>
  <mergeCells count="2">
    <mergeCell ref="B39:E41"/>
    <mergeCell ref="B28:E2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26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2" max="2"/>
    <col width="17" customWidth="1" min="3" max="3"/>
    <col width="17" customWidth="1" min="4" max="4"/>
    <col width="15" customWidth="1" min="5" max="5"/>
    <col width="16" customWidth="1" min="6" max="6"/>
    <col width="13" customWidth="1" min="7" max="7"/>
    <col width="22" customWidth="1" min="8" max="8"/>
  </cols>
  <sheetData>
    <row r="2">
      <c r="B2" s="23" t="inlineStr">
        <is>
          <t>ПЛАН-ФАКТ ПО СТАТЬЯМ ЗАТРАТ</t>
        </is>
      </c>
    </row>
    <row r="3">
      <c r="B3" s="2" t="inlineStr">
        <is>
          <t>План тянется с листа «Сводка» по той же статье. Факт вносится вручную — в жёлтую колонку.</t>
        </is>
      </c>
    </row>
    <row r="4">
      <c r="B4" s="38" t="inlineStr">
        <is>
          <t>Строки с незаполненным фактом в выводе помечаются как «факт не внесён»: это честнее, чем показывать экономию по несобранным данным.</t>
        </is>
      </c>
    </row>
    <row r="8" ht="32" customHeight="1">
      <c r="B8" s="7" t="inlineStr">
        <is>
          <t>Статья затрат</t>
        </is>
      </c>
      <c r="C8" s="7" t="inlineStr">
        <is>
          <t>План на объём, ₽</t>
        </is>
      </c>
      <c r="D8" s="7" t="inlineStr">
        <is>
          <t>Факт на объём, ₽</t>
        </is>
      </c>
      <c r="E8" s="7" t="inlineStr">
        <is>
          <t>План в зачёт, ₽</t>
        </is>
      </c>
      <c r="F8" s="7" t="inlineStr">
        <is>
          <t>Отклонение, ₽</t>
        </is>
      </c>
      <c r="G8" s="7" t="inlineStr">
        <is>
          <t>Отклонение, %</t>
        </is>
      </c>
      <c r="H8" s="7" t="inlineStr">
        <is>
          <t>Вывод</t>
        </is>
      </c>
    </row>
    <row r="9">
      <c r="B9" s="29" t="inlineStr">
        <is>
          <t>Сырьё и материалы</t>
        </is>
      </c>
      <c r="C9" s="11">
        <f>Сводка!$D$12</f>
        <v/>
      </c>
      <c r="D9" s="11" t="n">
        <v>812000</v>
      </c>
      <c r="E9" s="39">
        <f>IF(D9="",0,C9)</f>
        <v/>
      </c>
      <c r="F9" s="11">
        <f>IF(D9="","",ROUND(D9-E9,2))</f>
        <v/>
      </c>
      <c r="G9" s="13">
        <f>IF(OR(D9="",E9=0),"",ROUND(F9/E9,4))</f>
        <v/>
      </c>
      <c r="H9" s="40">
        <f>IF(D9="","факт не внесён",IF(ABS(F9)&lt;1,"совпадение",IF(F9&gt;0,"перерасход","экономия")))</f>
        <v/>
      </c>
    </row>
    <row r="10">
      <c r="B10" s="29" t="inlineStr">
        <is>
          <t>Комплектующие и полуфабрикаты</t>
        </is>
      </c>
      <c r="C10" s="11">
        <f>Сводка!$D$13</f>
        <v/>
      </c>
      <c r="D10" s="12" t="n"/>
      <c r="E10" s="39">
        <f>IF(D10="",0,C10)</f>
        <v/>
      </c>
      <c r="F10" s="11">
        <f>IF(D10="","",ROUND(D10-E10,2))</f>
        <v/>
      </c>
      <c r="G10" s="13">
        <f>IF(OR(D10="",E10=0),"",ROUND(F10/E10,4))</f>
        <v/>
      </c>
      <c r="H10" s="40">
        <f>IF(D10="","факт не внесён",IF(ABS(F10)&lt;1,"совпадение",IF(F10&gt;0,"перерасход","экономия")))</f>
        <v/>
      </c>
    </row>
    <row r="11">
      <c r="B11" s="29" t="inlineStr">
        <is>
          <t>Оплата труда производственных рабочих</t>
        </is>
      </c>
      <c r="C11" s="11">
        <f>Сводка!$D$14</f>
        <v/>
      </c>
      <c r="D11" s="11" t="n">
        <v>978000</v>
      </c>
      <c r="E11" s="39">
        <f>IF(D11="",0,C11)</f>
        <v/>
      </c>
      <c r="F11" s="11">
        <f>IF(D11="","",ROUND(D11-E11,2))</f>
        <v/>
      </c>
      <c r="G11" s="13">
        <f>IF(OR(D11="",E11=0),"",ROUND(F11/E11,4))</f>
        <v/>
      </c>
      <c r="H11" s="40">
        <f>IF(D11="","факт не внесён",IF(ABS(F11)&lt;1,"совпадение",IF(F11&gt;0,"перерасход","экономия")))</f>
        <v/>
      </c>
    </row>
    <row r="12">
      <c r="B12" s="29" t="inlineStr">
        <is>
          <t>Страховые взносы</t>
        </is>
      </c>
      <c r="C12" s="11">
        <f>Сводка!$D$15</f>
        <v/>
      </c>
      <c r="D12" s="12" t="n"/>
      <c r="E12" s="39">
        <f>IF(D12="",0,C12)</f>
        <v/>
      </c>
      <c r="F12" s="11">
        <f>IF(D12="","",ROUND(D12-E12,2))</f>
        <v/>
      </c>
      <c r="G12" s="13">
        <f>IF(OR(D12="",E12=0),"",ROUND(F12/E12,4))</f>
        <v/>
      </c>
      <c r="H12" s="40">
        <f>IF(D12="","факт не внесён",IF(ABS(F12)&lt;1,"совпадение",IF(F12&gt;0,"перерасход","экономия")))</f>
        <v/>
      </c>
    </row>
    <row r="13">
      <c r="B13" s="29" t="inlineStr">
        <is>
          <t>Топливо и энергия на технологические цели</t>
        </is>
      </c>
      <c r="C13" s="11">
        <f>Сводка!$D$16</f>
        <v/>
      </c>
      <c r="D13" s="12" t="n"/>
      <c r="E13" s="39">
        <f>IF(D13="",0,C13)</f>
        <v/>
      </c>
      <c r="F13" s="11">
        <f>IF(D13="","",ROUND(D13-E13,2))</f>
        <v/>
      </c>
      <c r="G13" s="13">
        <f>IF(OR(D13="",E13=0),"",ROUND(F13/E13,4))</f>
        <v/>
      </c>
      <c r="H13" s="40">
        <f>IF(D13="","факт не внесён",IF(ABS(F13)&lt;1,"совпадение",IF(F13&gt;0,"перерасход","экономия")))</f>
        <v/>
      </c>
    </row>
    <row r="14">
      <c r="B14" s="29" t="inlineStr">
        <is>
          <t>Транспортно-заготовительные расходы</t>
        </is>
      </c>
      <c r="C14" s="11">
        <f>Сводка!$D$17</f>
        <v/>
      </c>
      <c r="D14" s="12" t="n"/>
      <c r="E14" s="39">
        <f>IF(D14="",0,C14)</f>
        <v/>
      </c>
      <c r="F14" s="11">
        <f>IF(D14="","",ROUND(D14-E14,2))</f>
        <v/>
      </c>
      <c r="G14" s="13">
        <f>IF(OR(D14="",E14=0),"",ROUND(F14/E14,4))</f>
        <v/>
      </c>
      <c r="H14" s="40">
        <f>IF(D14="","факт не внесён",IF(ABS(F14)&lt;1,"совпадение",IF(F14&gt;0,"перерасход","экономия")))</f>
        <v/>
      </c>
    </row>
    <row r="15">
      <c r="B15" s="29" t="inlineStr">
        <is>
          <t>Упаковка</t>
        </is>
      </c>
      <c r="C15" s="11">
        <f>Сводка!$D$18</f>
        <v/>
      </c>
      <c r="D15" s="12" t="n"/>
      <c r="E15" s="39">
        <f>IF(D15="",0,C15)</f>
        <v/>
      </c>
      <c r="F15" s="11">
        <f>IF(D15="","",ROUND(D15-E15,2))</f>
        <v/>
      </c>
      <c r="G15" s="13">
        <f>IF(OR(D15="",E15=0),"",ROUND(F15/E15,4))</f>
        <v/>
      </c>
      <c r="H15" s="40">
        <f>IF(D15="","факт не внесён",IF(ABS(F15)&lt;1,"совпадение",IF(F15&gt;0,"перерасход","экономия")))</f>
        <v/>
      </c>
    </row>
    <row r="16">
      <c r="B16" s="29" t="inlineStr">
        <is>
          <t>Амортизация оборудования</t>
        </is>
      </c>
      <c r="C16" s="11">
        <f>Сводка!$D$19</f>
        <v/>
      </c>
      <c r="D16" s="12" t="n"/>
      <c r="E16" s="39">
        <f>IF(D16="",0,C16)</f>
        <v/>
      </c>
      <c r="F16" s="11">
        <f>IF(D16="","",ROUND(D16-E16,2))</f>
        <v/>
      </c>
      <c r="G16" s="13">
        <f>IF(OR(D16="",E16=0),"",ROUND(F16/E16,4))</f>
        <v/>
      </c>
      <c r="H16" s="40">
        <f>IF(D16="","факт не внесён",IF(ABS(F16)&lt;1,"совпадение",IF(F16&gt;0,"перерасход","экономия")))</f>
        <v/>
      </c>
    </row>
    <row r="17">
      <c r="B17" s="29" t="inlineStr">
        <is>
          <t>Общепроизводственные расходы</t>
        </is>
      </c>
      <c r="C17" s="11">
        <f>Сводка!$D$20</f>
        <v/>
      </c>
      <c r="D17" s="11" t="n">
        <v>268000</v>
      </c>
      <c r="E17" s="39">
        <f>IF(D17="",0,C17)</f>
        <v/>
      </c>
      <c r="F17" s="11">
        <f>IF(D17="","",ROUND(D17-E17,2))</f>
        <v/>
      </c>
      <c r="G17" s="13">
        <f>IF(OR(D17="",E17=0),"",ROUND(F17/E17,4))</f>
        <v/>
      </c>
      <c r="H17" s="40">
        <f>IF(D17="","факт не внесён",IF(ABS(F17)&lt;1,"совпадение",IF(F17&gt;0,"перерасход","экономия")))</f>
        <v/>
      </c>
    </row>
    <row r="18">
      <c r="B18" s="29" t="inlineStr">
        <is>
          <t>Общехозяйственные расходы</t>
        </is>
      </c>
      <c r="C18" s="11">
        <f>Сводка!$D$21</f>
        <v/>
      </c>
      <c r="D18" s="12" t="n"/>
      <c r="E18" s="39">
        <f>IF(D18="",0,C18)</f>
        <v/>
      </c>
      <c r="F18" s="11">
        <f>IF(D18="","",ROUND(D18-E18,2))</f>
        <v/>
      </c>
      <c r="G18" s="13">
        <f>IF(OR(D18="",E18=0),"",ROUND(F18/E18,4))</f>
        <v/>
      </c>
      <c r="H18" s="40">
        <f>IF(D18="","факт не внесён",IF(ABS(F18)&lt;1,"совпадение",IF(F18&gt;0,"перерасход","экономия")))</f>
        <v/>
      </c>
    </row>
    <row r="19">
      <c r="B19" s="29" t="inlineStr">
        <is>
          <t>Потери от брака</t>
        </is>
      </c>
      <c r="C19" s="11">
        <f>Сводка!$D$22</f>
        <v/>
      </c>
      <c r="D19" s="12" t="n"/>
      <c r="E19" s="39">
        <f>IF(D19="",0,C19)</f>
        <v/>
      </c>
      <c r="F19" s="11">
        <f>IF(D19="","",ROUND(D19-E19,2))</f>
        <v/>
      </c>
      <c r="G19" s="13">
        <f>IF(OR(D19="",E19=0),"",ROUND(F19/E19,4))</f>
        <v/>
      </c>
      <c r="H19" s="40">
        <f>IF(D19="","факт не внесён",IF(ABS(F19)&lt;1,"совпадение",IF(F19&gt;0,"перерасход","экономия")))</f>
        <v/>
      </c>
    </row>
    <row r="20">
      <c r="B20" s="29" t="inlineStr">
        <is>
          <t>Прочие производственные расходы</t>
        </is>
      </c>
      <c r="C20" s="11">
        <f>Сводка!$D$23</f>
        <v/>
      </c>
      <c r="D20" s="12" t="n"/>
      <c r="E20" s="39">
        <f>IF(D20="",0,C20)</f>
        <v/>
      </c>
      <c r="F20" s="11">
        <f>IF(D20="","",ROUND(D20-E20,2))</f>
        <v/>
      </c>
      <c r="G20" s="13">
        <f>IF(OR(D20="",E20=0),"",ROUND(F20/E20,4))</f>
        <v/>
      </c>
      <c r="H20" s="40">
        <f>IF(D20="","факт не внесён",IF(ABS(F20)&lt;1,"совпадение",IF(F20&gt;0,"перерасход","экономия")))</f>
        <v/>
      </c>
    </row>
    <row r="21">
      <c r="B21" s="29" t="inlineStr">
        <is>
          <t>Коммерческие расходы</t>
        </is>
      </c>
      <c r="C21" s="11">
        <f>Сводка!$D$24</f>
        <v/>
      </c>
      <c r="D21" s="12" t="n"/>
      <c r="E21" s="39">
        <f>IF(D21="",0,C21)</f>
        <v/>
      </c>
      <c r="F21" s="11">
        <f>IF(D21="","",ROUND(D21-E21,2))</f>
        <v/>
      </c>
      <c r="G21" s="13">
        <f>IF(OR(D21="",E21=0),"",ROUND(F21/E21,4))</f>
        <v/>
      </c>
      <c r="H21" s="40">
        <f>IF(D21="","факт не внесён",IF(ABS(F21)&lt;1,"совпадение",IF(F21&gt;0,"перерасход","экономия")))</f>
        <v/>
      </c>
    </row>
    <row r="22">
      <c r="B22" s="29" t="inlineStr">
        <is>
          <t>Резерв: своя статья затрат</t>
        </is>
      </c>
      <c r="C22" s="11">
        <f>Сводка!$D$25</f>
        <v/>
      </c>
      <c r="D22" s="12" t="n"/>
      <c r="E22" s="39">
        <f>IF(D22="",0,C22)</f>
        <v/>
      </c>
      <c r="F22" s="11">
        <f>IF(D22="","",ROUND(D22-E22,2))</f>
        <v/>
      </c>
      <c r="G22" s="13">
        <f>IF(OR(D22="",E22=0),"",ROUND(F22/E22,4))</f>
        <v/>
      </c>
      <c r="H22" s="40">
        <f>IF(D22="","факт не внесён",IF(ABS(F22)&lt;1,"совпадение",IF(F22&gt;0,"перерасход","экономия")))</f>
        <v/>
      </c>
    </row>
    <row r="23">
      <c r="B23" s="30" t="inlineStr">
        <is>
          <t>ИТОГО</t>
        </is>
      </c>
      <c r="C23" s="31">
        <f>ROUND(SUM(C9:C22),2)</f>
        <v/>
      </c>
      <c r="D23" s="31">
        <f>ROUND(SUM(D9:D22),2)</f>
        <v/>
      </c>
      <c r="E23" s="31">
        <f>ROUND(SUM(E9:E22),2)</f>
        <v/>
      </c>
      <c r="F23" s="31">
        <f>ROUND($D$23-$E$23,2)</f>
        <v/>
      </c>
      <c r="G23" s="32">
        <f>IFERROR(ROUND($F$23/$E$23,4),"")</f>
        <v/>
      </c>
      <c r="H23" s="17" t="n"/>
    </row>
    <row r="25">
      <c r="B25" s="33" t="inlineStr">
        <is>
          <t>Колонка «План в зачёт» — это план только тех статей, по которым внесён факт. Так итоговое отклонение не показывает экономию по несобранным данным. Отклонение больше 5 % подсвечивается: красным — перерасход, зелёным — экономия.</t>
        </is>
      </c>
    </row>
    <row r="26"/>
  </sheetData>
  <mergeCells count="1">
    <mergeCell ref="B25:H26"/>
  </mergeCells>
  <conditionalFormatting sqref="F9:F22">
    <cfRule type="expression" priority="1" dxfId="0" stopIfTrue="0">
      <formula>AND($F9&lt;&gt;"",$F9&gt;0)</formula>
    </cfRule>
  </conditionalFormatting>
  <conditionalFormatting sqref="G9:G22">
    <cfRule type="expression" priority="2" dxfId="0" stopIfTrue="0">
      <formula>AND($G9&lt;&gt;"",$G9&gt;0.05)</formula>
    </cfRule>
    <cfRule type="expression" priority="3" dxfId="1" stopIfTrue="0">
      <formula>AND($G9&lt;&gt;"",$G9&lt;-0.05)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25"/>
  <sheetViews>
    <sheetView showGridLines="0" workbookViewId="0">
      <selection activeCell="A1" sqref="A1"/>
    </sheetView>
  </sheetViews>
  <sheetFormatPr baseColWidth="8" defaultRowHeight="15"/>
  <cols>
    <col width="40" customWidth="1" min="2" max="2"/>
    <col width="14" customWidth="1" min="3" max="3"/>
    <col width="3" customWidth="1" min="4" max="4"/>
    <col width="20" customWidth="1" min="5" max="5"/>
  </cols>
  <sheetData>
    <row r="2">
      <c r="B2" s="41" t="inlineStr">
        <is>
          <t>СПРАВОЧНИКИ</t>
        </is>
      </c>
    </row>
    <row r="3">
      <c r="B3" s="42" t="inlineStr">
        <is>
          <t>Статьи затрат с группой (от группы зависят итоги прямых и косвенных) и единицы измерения.</t>
        </is>
      </c>
    </row>
    <row r="4">
      <c r="B4" s="43" t="inlineStr">
        <is>
          <t>Статья затрат</t>
        </is>
      </c>
      <c r="C4" s="43" t="inlineStr">
        <is>
          <t>Группа</t>
        </is>
      </c>
      <c r="E4" s="43" t="inlineStr">
        <is>
          <t>Единица измерения</t>
        </is>
      </c>
    </row>
    <row r="5">
      <c r="B5" s="44" t="inlineStr">
        <is>
          <t>Сырьё и материалы</t>
        </is>
      </c>
      <c r="C5" s="45" t="inlineStr">
        <is>
          <t>Прямые</t>
        </is>
      </c>
      <c r="E5" s="44" t="inlineStr">
        <is>
          <t>шт.</t>
        </is>
      </c>
    </row>
    <row r="6">
      <c r="B6" s="44" t="inlineStr">
        <is>
          <t>Комплектующие и полуфабрикаты</t>
        </is>
      </c>
      <c r="C6" s="45" t="inlineStr">
        <is>
          <t>Прямые</t>
        </is>
      </c>
      <c r="E6" s="44" t="inlineStr">
        <is>
          <t>кг</t>
        </is>
      </c>
    </row>
    <row r="7">
      <c r="B7" s="44" t="inlineStr">
        <is>
          <t>Оплата труда производственных рабочих</t>
        </is>
      </c>
      <c r="C7" s="45" t="inlineStr">
        <is>
          <t>Прямые</t>
        </is>
      </c>
      <c r="E7" s="44" t="inlineStr">
        <is>
          <t>т</t>
        </is>
      </c>
    </row>
    <row r="8">
      <c r="B8" s="44" t="inlineStr">
        <is>
          <t>Страховые взносы</t>
        </is>
      </c>
      <c r="C8" s="45" t="inlineStr">
        <is>
          <t>Прямые</t>
        </is>
      </c>
      <c r="E8" s="44" t="inlineStr">
        <is>
          <t>м</t>
        </is>
      </c>
    </row>
    <row r="9">
      <c r="B9" s="44" t="inlineStr">
        <is>
          <t>Топливо и энергия на технологические цели</t>
        </is>
      </c>
      <c r="C9" s="45" t="inlineStr">
        <is>
          <t>Прямые</t>
        </is>
      </c>
      <c r="E9" s="44" t="inlineStr">
        <is>
          <t>м²</t>
        </is>
      </c>
    </row>
    <row r="10">
      <c r="B10" s="44" t="inlineStr">
        <is>
          <t>Транспортно-заготовительные расходы</t>
        </is>
      </c>
      <c r="C10" s="45" t="inlineStr">
        <is>
          <t>Прямые</t>
        </is>
      </c>
      <c r="E10" s="44" t="inlineStr">
        <is>
          <t>м³</t>
        </is>
      </c>
    </row>
    <row r="11">
      <c r="B11" s="44" t="inlineStr">
        <is>
          <t>Упаковка</t>
        </is>
      </c>
      <c r="C11" s="45" t="inlineStr">
        <is>
          <t>Прямые</t>
        </is>
      </c>
      <c r="E11" s="44" t="inlineStr">
        <is>
          <t>л</t>
        </is>
      </c>
    </row>
    <row r="12">
      <c r="B12" s="44" t="inlineStr">
        <is>
          <t>Амортизация оборудования</t>
        </is>
      </c>
      <c r="C12" s="45" t="inlineStr">
        <is>
          <t>Косвенные</t>
        </is>
      </c>
      <c r="E12" s="44" t="inlineStr">
        <is>
          <t>м.п.</t>
        </is>
      </c>
    </row>
    <row r="13">
      <c r="B13" s="44" t="inlineStr">
        <is>
          <t>Общепроизводственные расходы</t>
        </is>
      </c>
      <c r="C13" s="45" t="inlineStr">
        <is>
          <t>Косвенные</t>
        </is>
      </c>
      <c r="E13" s="44" t="inlineStr">
        <is>
          <t>компл.</t>
        </is>
      </c>
    </row>
    <row r="14">
      <c r="B14" s="44" t="inlineStr">
        <is>
          <t>Общехозяйственные расходы</t>
        </is>
      </c>
      <c r="C14" s="45" t="inlineStr">
        <is>
          <t>Косвенные</t>
        </is>
      </c>
      <c r="E14" s="44" t="inlineStr">
        <is>
          <t>упак.</t>
        </is>
      </c>
    </row>
    <row r="15">
      <c r="B15" s="44" t="inlineStr">
        <is>
          <t>Потери от брака</t>
        </is>
      </c>
      <c r="C15" s="45" t="inlineStr">
        <is>
          <t>Косвенные</t>
        </is>
      </c>
      <c r="E15" s="44" t="inlineStr">
        <is>
          <t>кВт·ч</t>
        </is>
      </c>
    </row>
    <row r="16">
      <c r="B16" s="44" t="inlineStr">
        <is>
          <t>Прочие производственные расходы</t>
        </is>
      </c>
      <c r="C16" s="45" t="inlineStr">
        <is>
          <t>Косвенные</t>
        </is>
      </c>
      <c r="E16" s="44" t="inlineStr">
        <is>
          <t>нормо-час</t>
        </is>
      </c>
    </row>
    <row r="17">
      <c r="B17" s="44" t="inlineStr">
        <is>
          <t>Коммерческие расходы</t>
        </is>
      </c>
      <c r="C17" s="45" t="inlineStr">
        <is>
          <t>Косвенные</t>
        </is>
      </c>
      <c r="E17" s="44" t="inlineStr">
        <is>
          <t>чел.-час</t>
        </is>
      </c>
    </row>
    <row r="18">
      <c r="B18" s="44" t="inlineStr">
        <is>
          <t>Резерв: своя статья затрат</t>
        </is>
      </c>
      <c r="C18" s="45" t="inlineStr">
        <is>
          <t>Косвенные</t>
        </is>
      </c>
      <c r="E18" s="44" t="inlineStr">
        <is>
          <t>маш.-час</t>
        </is>
      </c>
    </row>
    <row r="19">
      <c r="E19" s="44" t="inlineStr">
        <is>
          <t>услуга</t>
        </is>
      </c>
    </row>
    <row r="20">
      <c r="E20" s="44" t="inlineStr">
        <is>
          <t>партия</t>
        </is>
      </c>
    </row>
    <row r="21">
      <c r="E21" s="44" t="inlineStr">
        <is>
          <t>1000 шт.</t>
        </is>
      </c>
    </row>
    <row r="23">
      <c r="B23" s="33" t="inlineStr">
        <is>
          <t>Группа задаёт, попадёт статья в прямые или в косвенные затраты. Добавили статью в список — впишите её и в «Сводку», и в «План-факт»: там строки фиксированные, чтобы доли и отклонения считались формулами, а не вручную.</t>
        </is>
      </c>
    </row>
    <row r="24"/>
    <row r="25"/>
  </sheetData>
  <mergeCells count="1">
    <mergeCell ref="B23:E2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23" t="inlineStr">
        <is>
          <t>КАК ПОЛЬЗОВАТЬСЯ ШАБЛОНОМ</t>
        </is>
      </c>
    </row>
    <row r="4" ht="18" customHeight="1">
      <c r="B4" s="46" t="inlineStr">
        <is>
          <t>Шаг 1. Заполните шапку</t>
        </is>
      </c>
    </row>
    <row r="5" ht="30" customHeight="1">
      <c r="B5" s="47" t="inlineStr">
        <is>
          <t>На листе «Калькуляция» укажите изделие, объём выпуска и период. Объём выпуска — ключевая ячейка: от неё считается сумма на весь объём и себестоимость единицы.</t>
        </is>
      </c>
    </row>
    <row r="6" ht="18" customHeight="1">
      <c r="B6" s="46" t="inlineStr">
        <is>
          <t>Шаг 2. Внесите прямые затраты по норме</t>
        </is>
      </c>
    </row>
    <row r="7" ht="30" customHeight="1">
      <c r="B7" s="47" t="inlineStr">
        <is>
          <t>Для материалов, комплектующих и оплаты труда заполните норму расхода на единицу и цену ресурса: сумма на единицу считается произведением, сумма на объём — умножением на объём.</t>
        </is>
      </c>
    </row>
    <row r="8" ht="18" customHeight="1">
      <c r="B8" s="46" t="inlineStr">
        <is>
          <t>Шаг 3. Внесите косвенные затраты суммой</t>
        </is>
      </c>
    </row>
    <row r="9" ht="30" customHeight="1">
      <c r="B9" s="47" t="inlineStr">
        <is>
          <t>Амортизацию, общепроизводственные, общехозяйственные и коммерческие расходы удобнее вносить суммой на объём — для этого есть отдельная колонка. Норма для таких строк не нужна.</t>
        </is>
      </c>
    </row>
    <row r="10" ht="18" customHeight="1">
      <c r="B10" s="46" t="inlineStr">
        <is>
          <t>Шаг 4. Проверьте статьи и группу</t>
        </is>
      </c>
    </row>
    <row r="11" ht="30" customHeight="1">
      <c r="B11" s="47" t="inlineStr">
        <is>
          <t>Статья выбирается из выпадающего списка, а группа («Прямые» или «Косвенные») подтягивается из справочника. Если статья не выбрана, строка не попадёт в итоги — это главная причина расхождений.</t>
        </is>
      </c>
    </row>
    <row r="12" ht="18" customHeight="1">
      <c r="B12" s="46" t="inlineStr">
        <is>
          <t>Шаг 5. Посмотрите сводку</t>
        </is>
      </c>
    </row>
    <row r="13" ht="30" customHeight="1">
      <c r="B13" s="47" t="inlineStr">
        <is>
          <t>Лист «Сводка» считает полную себестоимость, себестоимость единицы, структуру по статьям с долями, а также цену и маржу при выбранной наценке и ставке НДС.</t>
        </is>
      </c>
    </row>
    <row r="14" ht="18" customHeight="1">
      <c r="B14" s="46" t="inlineStr">
        <is>
          <t>Шаг 6. Ведите план-факт</t>
        </is>
      </c>
    </row>
    <row r="15" ht="30" customHeight="1">
      <c r="B15" s="47" t="inlineStr">
        <is>
          <t>Лист «План-факт» тянет план по статьям из сводки; факт вносится вручную. Отклонения больше 5 % подсвечиваются, а строки без внесённого факта помечаются — итог считается только по заполненным строкам.</t>
        </is>
      </c>
    </row>
    <row r="16" ht="18" customHeight="1">
      <c r="B16" s="46" t="inlineStr">
        <is>
          <t>Что проверить перед использованием</t>
        </is>
      </c>
    </row>
    <row r="17" ht="60" customHeight="1">
      <c r="B17" s="47" t="inlineStr">
        <is>
          <t>— нормы расхода соответствуют вашей технологии и подтверждены технологами;
— цены ресурсов актуальны на дату расчёта, а не взяты из прошлогодней калькуляции;
— ставка страховых взносов и ставка НДС соответствуют вашему режиму налогообложения;
— база распределения косвенных расходов соответствует вашей учётной политике.</t>
        </is>
      </c>
    </row>
    <row r="18" ht="18" customHeight="1">
      <c r="B18" s="46" t="inlineStr">
        <is>
          <t>Границы шаблона</t>
        </is>
      </c>
    </row>
    <row r="19" ht="45" customHeight="1">
      <c r="B19" s="47" t="inlineStr">
        <is>
          <t>Шаблон считает арифметику калькуляции и не заменяет учётную политику, нормативную базу и данные бухгалтерского учёта. Он не подтверждает нормы расхода и не знает рыночную цену сбыта: его задача — собрать структуру затрат, увидеть себестоимость единицы и вовремя заметить отклонение по статьям.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2026-09-15T16:36:50Z</dcterms:created>
  <dcterms:modified xsi:type="dcterms:W3CDTF">2026-09-15T16:36:50Z</dcterms:modified>
</cp:coreProperties>
</file>